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Tower.liu\Desktop\"/>
    </mc:Choice>
  </mc:AlternateContent>
  <xr:revisionPtr revIDLastSave="0" documentId="8_{18F669B4-BAEA-49D8-9969-7904F59625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使用说明" sheetId="1" r:id="rId1"/>
    <sheet name="输入区" sheetId="2" r:id="rId2"/>
    <sheet name="结果仪表盘" sheetId="3" r:id="rId3"/>
    <sheet name="年度路径" sheetId="4" r:id="rId4"/>
    <sheet name="情景对比" sheetId="5" r:id="rId5"/>
    <sheet name="慢富评分" sheetId="6" r:id="rId6"/>
    <sheet name="数据字典" sheetId="7" r:id="rId7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6" l="1"/>
  <c r="C10" i="6"/>
  <c r="D10" i="6" s="1"/>
  <c r="F6" i="6"/>
  <c r="D6" i="6"/>
  <c r="C6" i="6"/>
  <c r="G9" i="5"/>
  <c r="E9" i="5"/>
  <c r="D9" i="5"/>
  <c r="C9" i="5"/>
  <c r="E8" i="5"/>
  <c r="D8" i="5"/>
  <c r="C8" i="5"/>
  <c r="E7" i="5"/>
  <c r="G6" i="5"/>
  <c r="E6" i="5"/>
  <c r="D6" i="5"/>
  <c r="C6" i="5"/>
  <c r="E5" i="5"/>
  <c r="G65" i="4"/>
  <c r="D65" i="4"/>
  <c r="B65" i="4"/>
  <c r="G64" i="4"/>
  <c r="D64" i="4"/>
  <c r="B64" i="4"/>
  <c r="G63" i="4"/>
  <c r="D63" i="4"/>
  <c r="B63" i="4"/>
  <c r="G62" i="4"/>
  <c r="D62" i="4"/>
  <c r="B62" i="4"/>
  <c r="G61" i="4"/>
  <c r="D61" i="4"/>
  <c r="B61" i="4"/>
  <c r="I60" i="4"/>
  <c r="K60" i="4" s="1"/>
  <c r="G60" i="4"/>
  <c r="D60" i="4"/>
  <c r="B60" i="4"/>
  <c r="G59" i="4"/>
  <c r="D59" i="4"/>
  <c r="B59" i="4"/>
  <c r="I58" i="4"/>
  <c r="K58" i="4" s="1"/>
  <c r="G58" i="4"/>
  <c r="D58" i="4"/>
  <c r="B58" i="4"/>
  <c r="G57" i="4"/>
  <c r="D57" i="4"/>
  <c r="B57" i="4"/>
  <c r="G56" i="4"/>
  <c r="D56" i="4"/>
  <c r="B56" i="4"/>
  <c r="G55" i="4"/>
  <c r="D55" i="4"/>
  <c r="B55" i="4"/>
  <c r="I54" i="4"/>
  <c r="K54" i="4" s="1"/>
  <c r="G54" i="4"/>
  <c r="D54" i="4"/>
  <c r="B54" i="4"/>
  <c r="I53" i="4"/>
  <c r="K53" i="4" s="1"/>
  <c r="G53" i="4"/>
  <c r="D53" i="4"/>
  <c r="B53" i="4"/>
  <c r="G52" i="4"/>
  <c r="D52" i="4"/>
  <c r="B52" i="4"/>
  <c r="G51" i="4"/>
  <c r="D51" i="4"/>
  <c r="B51" i="4"/>
  <c r="G50" i="4"/>
  <c r="D50" i="4"/>
  <c r="B50" i="4"/>
  <c r="G49" i="4"/>
  <c r="D49" i="4"/>
  <c r="B49" i="4"/>
  <c r="G48" i="4"/>
  <c r="D48" i="4"/>
  <c r="B48" i="4"/>
  <c r="G47" i="4"/>
  <c r="D47" i="4"/>
  <c r="B47" i="4"/>
  <c r="G46" i="4"/>
  <c r="D46" i="4"/>
  <c r="B46" i="4"/>
  <c r="G45" i="4"/>
  <c r="D45" i="4"/>
  <c r="B45" i="4"/>
  <c r="I44" i="4"/>
  <c r="K44" i="4" s="1"/>
  <c r="G44" i="4"/>
  <c r="D44" i="4"/>
  <c r="B44" i="4"/>
  <c r="G43" i="4"/>
  <c r="D43" i="4"/>
  <c r="B43" i="4"/>
  <c r="I42" i="4"/>
  <c r="K42" i="4" s="1"/>
  <c r="G42" i="4"/>
  <c r="D42" i="4"/>
  <c r="B42" i="4"/>
  <c r="G41" i="4"/>
  <c r="D41" i="4"/>
  <c r="B41" i="4"/>
  <c r="G40" i="4"/>
  <c r="D40" i="4"/>
  <c r="B40" i="4"/>
  <c r="G39" i="4"/>
  <c r="D39" i="4"/>
  <c r="B39" i="4"/>
  <c r="G38" i="4"/>
  <c r="D38" i="4"/>
  <c r="B38" i="4"/>
  <c r="I37" i="4"/>
  <c r="K37" i="4" s="1"/>
  <c r="G37" i="4"/>
  <c r="D37" i="4"/>
  <c r="B37" i="4"/>
  <c r="G36" i="4"/>
  <c r="D36" i="4"/>
  <c r="B36" i="4"/>
  <c r="G35" i="4"/>
  <c r="D35" i="4"/>
  <c r="B35" i="4"/>
  <c r="G34" i="4"/>
  <c r="D34" i="4"/>
  <c r="B34" i="4"/>
  <c r="G33" i="4"/>
  <c r="D33" i="4"/>
  <c r="B33" i="4"/>
  <c r="G32" i="4"/>
  <c r="D32" i="4"/>
  <c r="B32" i="4"/>
  <c r="G31" i="4"/>
  <c r="D31" i="4"/>
  <c r="B31" i="4"/>
  <c r="G30" i="4"/>
  <c r="D30" i="4"/>
  <c r="B30" i="4"/>
  <c r="G29" i="4"/>
  <c r="D29" i="4"/>
  <c r="B29" i="4"/>
  <c r="I28" i="4"/>
  <c r="K28" i="4" s="1"/>
  <c r="G28" i="4"/>
  <c r="D28" i="4"/>
  <c r="B28" i="4"/>
  <c r="G27" i="4"/>
  <c r="D27" i="4"/>
  <c r="B27" i="4"/>
  <c r="I26" i="4"/>
  <c r="K26" i="4" s="1"/>
  <c r="G26" i="4"/>
  <c r="D26" i="4"/>
  <c r="B26" i="4"/>
  <c r="G25" i="4"/>
  <c r="D25" i="4"/>
  <c r="B25" i="4"/>
  <c r="G24" i="4"/>
  <c r="D24" i="4"/>
  <c r="B24" i="4"/>
  <c r="G23" i="4"/>
  <c r="D23" i="4"/>
  <c r="B23" i="4"/>
  <c r="G22" i="4"/>
  <c r="D22" i="4"/>
  <c r="B22" i="4"/>
  <c r="I21" i="4"/>
  <c r="K21" i="4" s="1"/>
  <c r="G21" i="4"/>
  <c r="D21" i="4"/>
  <c r="B21" i="4"/>
  <c r="G20" i="4"/>
  <c r="D20" i="4"/>
  <c r="B20" i="4"/>
  <c r="G19" i="4"/>
  <c r="D19" i="4"/>
  <c r="B19" i="4"/>
  <c r="G18" i="4"/>
  <c r="D18" i="4"/>
  <c r="B18" i="4"/>
  <c r="G17" i="4"/>
  <c r="D17" i="4"/>
  <c r="B17" i="4"/>
  <c r="G16" i="4"/>
  <c r="D16" i="4"/>
  <c r="B16" i="4"/>
  <c r="G15" i="4"/>
  <c r="D15" i="4"/>
  <c r="B15" i="4"/>
  <c r="G14" i="4"/>
  <c r="D14" i="4"/>
  <c r="B14" i="4"/>
  <c r="G13" i="4"/>
  <c r="D13" i="4"/>
  <c r="B13" i="4"/>
  <c r="I12" i="4"/>
  <c r="K12" i="4" s="1"/>
  <c r="G12" i="4"/>
  <c r="D12" i="4"/>
  <c r="B12" i="4"/>
  <c r="G11" i="4"/>
  <c r="D11" i="4"/>
  <c r="B11" i="4"/>
  <c r="I10" i="4"/>
  <c r="K10" i="4" s="1"/>
  <c r="G10" i="4"/>
  <c r="D10" i="4"/>
  <c r="B10" i="4"/>
  <c r="G9" i="4"/>
  <c r="D9" i="4"/>
  <c r="B9" i="4"/>
  <c r="G8" i="4"/>
  <c r="D8" i="4"/>
  <c r="B8" i="4"/>
  <c r="G7" i="4"/>
  <c r="D7" i="4"/>
  <c r="B7" i="4"/>
  <c r="G6" i="4"/>
  <c r="D6" i="4"/>
  <c r="B6" i="4"/>
  <c r="I5" i="4"/>
  <c r="K5" i="4" s="1"/>
  <c r="G5" i="4"/>
  <c r="E5" i="4"/>
  <c r="D5" i="4"/>
  <c r="B5" i="4"/>
  <c r="B18" i="3"/>
  <c r="B11" i="3"/>
  <c r="F13" i="3" s="1"/>
  <c r="B5" i="3"/>
  <c r="B14" i="3" s="1"/>
  <c r="E23" i="2"/>
  <c r="H19" i="2"/>
  <c r="C9" i="6" s="1"/>
  <c r="E14" i="2"/>
  <c r="I64" i="4" s="1"/>
  <c r="K64" i="4" s="1"/>
  <c r="H11" i="2"/>
  <c r="B10" i="3" s="1"/>
  <c r="H10" i="2"/>
  <c r="C5" i="4" s="1"/>
  <c r="F5" i="4" s="1"/>
  <c r="H5" i="4" l="1"/>
  <c r="J5" i="4" s="1"/>
  <c r="C6" i="4"/>
  <c r="F9" i="6"/>
  <c r="D9" i="6"/>
  <c r="B15" i="3"/>
  <c r="B16" i="3"/>
  <c r="H5" i="3" s="1"/>
  <c r="L5" i="4"/>
  <c r="I31" i="4"/>
  <c r="K31" i="4" s="1"/>
  <c r="B6" i="3"/>
  <c r="I20" i="4"/>
  <c r="K20" i="4" s="1"/>
  <c r="I36" i="4"/>
  <c r="K36" i="4" s="1"/>
  <c r="I52" i="4"/>
  <c r="K52" i="4" s="1"/>
  <c r="B7" i="5"/>
  <c r="H7" i="5" s="1"/>
  <c r="B9" i="5"/>
  <c r="B17" i="3"/>
  <c r="B7" i="3"/>
  <c r="B9" i="3" s="1"/>
  <c r="B12" i="3" s="1"/>
  <c r="F14" i="3" s="1"/>
  <c r="I9" i="4"/>
  <c r="K9" i="4" s="1"/>
  <c r="I25" i="4"/>
  <c r="K25" i="4" s="1"/>
  <c r="I41" i="4"/>
  <c r="K41" i="4" s="1"/>
  <c r="I57" i="4"/>
  <c r="K57" i="4" s="1"/>
  <c r="F5" i="5"/>
  <c r="I46" i="4"/>
  <c r="K46" i="4" s="1"/>
  <c r="I62" i="4"/>
  <c r="K62" i="4" s="1"/>
  <c r="F7" i="5"/>
  <c r="I19" i="4"/>
  <c r="K19" i="4" s="1"/>
  <c r="I35" i="4"/>
  <c r="K35" i="4" s="1"/>
  <c r="I51" i="4"/>
  <c r="K51" i="4" s="1"/>
  <c r="C8" i="6"/>
  <c r="I15" i="4"/>
  <c r="K15" i="4" s="1"/>
  <c r="I47" i="4"/>
  <c r="K47" i="4" s="1"/>
  <c r="I63" i="4"/>
  <c r="K63" i="4" s="1"/>
  <c r="I30" i="4"/>
  <c r="K30" i="4" s="1"/>
  <c r="I8" i="4"/>
  <c r="K8" i="4" s="1"/>
  <c r="I24" i="4"/>
  <c r="K24" i="4" s="1"/>
  <c r="I40" i="4"/>
  <c r="K40" i="4" s="1"/>
  <c r="I56" i="4"/>
  <c r="K56" i="4" s="1"/>
  <c r="F9" i="5"/>
  <c r="B5" i="5"/>
  <c r="B8" i="3"/>
  <c r="I14" i="4"/>
  <c r="K14" i="4" s="1"/>
  <c r="I13" i="4"/>
  <c r="K13" i="4" s="1"/>
  <c r="I29" i="4"/>
  <c r="K29" i="4" s="1"/>
  <c r="I45" i="4"/>
  <c r="K45" i="4" s="1"/>
  <c r="I61" i="4"/>
  <c r="K61" i="4" s="1"/>
  <c r="I18" i="4"/>
  <c r="K18" i="4" s="1"/>
  <c r="I34" i="4"/>
  <c r="K34" i="4" s="1"/>
  <c r="I50" i="4"/>
  <c r="K50" i="4" s="1"/>
  <c r="B6" i="5"/>
  <c r="H6" i="5" s="1"/>
  <c r="I6" i="5" s="1"/>
  <c r="J6" i="5" s="1"/>
  <c r="K6" i="5" s="1"/>
  <c r="I7" i="4"/>
  <c r="K7" i="4" s="1"/>
  <c r="I23" i="4"/>
  <c r="K23" i="4" s="1"/>
  <c r="I39" i="4"/>
  <c r="K39" i="4" s="1"/>
  <c r="I55" i="4"/>
  <c r="K55" i="4" s="1"/>
  <c r="B8" i="5"/>
  <c r="H8" i="5" s="1"/>
  <c r="I8" i="5" s="1"/>
  <c r="J8" i="5" s="1"/>
  <c r="K8" i="5" s="1"/>
  <c r="I17" i="4"/>
  <c r="K17" i="4" s="1"/>
  <c r="I33" i="4"/>
  <c r="K33" i="4" s="1"/>
  <c r="I49" i="4"/>
  <c r="K49" i="4" s="1"/>
  <c r="I65" i="4"/>
  <c r="K65" i="4" s="1"/>
  <c r="F6" i="5"/>
  <c r="I6" i="4"/>
  <c r="K6" i="4" s="1"/>
  <c r="I22" i="4"/>
  <c r="K22" i="4" s="1"/>
  <c r="I38" i="4"/>
  <c r="K38" i="4" s="1"/>
  <c r="I11" i="4"/>
  <c r="K11" i="4" s="1"/>
  <c r="I27" i="4"/>
  <c r="K27" i="4" s="1"/>
  <c r="I43" i="4"/>
  <c r="K43" i="4" s="1"/>
  <c r="I59" i="4"/>
  <c r="K59" i="4" s="1"/>
  <c r="F8" i="5"/>
  <c r="E24" i="2"/>
  <c r="I16" i="4"/>
  <c r="K16" i="4" s="1"/>
  <c r="I32" i="4"/>
  <c r="K32" i="4" s="1"/>
  <c r="I48" i="4"/>
  <c r="K48" i="4" s="1"/>
  <c r="E6" i="4" l="1"/>
  <c r="F6" i="4" s="1"/>
  <c r="F15" i="3"/>
  <c r="F8" i="6"/>
  <c r="D8" i="6"/>
  <c r="C5" i="6"/>
  <c r="H9" i="3"/>
  <c r="I7" i="5"/>
  <c r="J7" i="5" s="1"/>
  <c r="K7" i="5" s="1"/>
  <c r="B13" i="3"/>
  <c r="H9" i="5"/>
  <c r="I9" i="5" s="1"/>
  <c r="J9" i="5" s="1"/>
  <c r="K9" i="5" s="1"/>
  <c r="H5" i="5"/>
  <c r="I5" i="5" s="1"/>
  <c r="J5" i="5" s="1"/>
  <c r="K5" i="5" s="1"/>
  <c r="N5" i="4"/>
  <c r="M5" i="4"/>
  <c r="H6" i="4" l="1"/>
  <c r="J6" i="4" s="1"/>
  <c r="C7" i="4"/>
  <c r="L6" i="4"/>
  <c r="F5" i="6"/>
  <c r="D5" i="6"/>
  <c r="E5" i="3"/>
  <c r="B22" i="3"/>
  <c r="B21" i="3"/>
  <c r="C7" i="6"/>
  <c r="M6" i="4" l="1"/>
  <c r="N6" i="4"/>
  <c r="F7" i="6"/>
  <c r="D7" i="6"/>
  <c r="D11" i="6"/>
  <c r="F11" i="6" s="1"/>
  <c r="E7" i="4"/>
  <c r="F7" i="4" s="1"/>
  <c r="H7" i="4" l="1"/>
  <c r="J7" i="4" s="1"/>
  <c r="C8" i="4"/>
  <c r="L7" i="4"/>
  <c r="E8" i="4" l="1"/>
  <c r="F8" i="4" s="1"/>
  <c r="N7" i="4"/>
  <c r="M7" i="4"/>
  <c r="C9" i="4" l="1"/>
  <c r="H8" i="4"/>
  <c r="J8" i="4" s="1"/>
  <c r="L8" i="4"/>
  <c r="N8" i="4" l="1"/>
  <c r="M8" i="4"/>
  <c r="E9" i="4"/>
  <c r="F9" i="4" s="1"/>
  <c r="C10" i="4" l="1"/>
  <c r="H9" i="4"/>
  <c r="J9" i="4" s="1"/>
  <c r="L9" i="4"/>
  <c r="N9" i="4" l="1"/>
  <c r="M9" i="4"/>
  <c r="E10" i="4"/>
  <c r="F10" i="4" s="1"/>
  <c r="H10" i="4" l="1"/>
  <c r="J10" i="4" s="1"/>
  <c r="C11" i="4"/>
  <c r="L10" i="4"/>
  <c r="E11" i="4" l="1"/>
  <c r="F11" i="4" s="1"/>
  <c r="M10" i="4"/>
  <c r="N10" i="4"/>
  <c r="H11" i="4" l="1"/>
  <c r="J11" i="4" s="1"/>
  <c r="C12" i="4"/>
  <c r="L11" i="4"/>
  <c r="E12" i="4" l="1"/>
  <c r="F12" i="4" s="1"/>
  <c r="M11" i="4"/>
  <c r="N11" i="4"/>
  <c r="H12" i="4" l="1"/>
  <c r="J12" i="4" s="1"/>
  <c r="C13" i="4"/>
  <c r="L12" i="4"/>
  <c r="E13" i="4" l="1"/>
  <c r="F13" i="4" s="1"/>
  <c r="M12" i="4"/>
  <c r="N12" i="4"/>
  <c r="C14" i="4" l="1"/>
  <c r="H13" i="4"/>
  <c r="J13" i="4" s="1"/>
  <c r="L13" i="4"/>
  <c r="N13" i="4" l="1"/>
  <c r="M13" i="4"/>
  <c r="E14" i="4"/>
  <c r="F14" i="4" s="1"/>
  <c r="C15" i="4" l="1"/>
  <c r="H14" i="4"/>
  <c r="J14" i="4" s="1"/>
  <c r="L14" i="4"/>
  <c r="N14" i="4" l="1"/>
  <c r="M14" i="4"/>
  <c r="E15" i="4"/>
  <c r="F15" i="4" s="1"/>
  <c r="C16" i="4" l="1"/>
  <c r="H15" i="4"/>
  <c r="J15" i="4" s="1"/>
  <c r="L15" i="4"/>
  <c r="N15" i="4" l="1"/>
  <c r="M15" i="4"/>
  <c r="E16" i="4"/>
  <c r="F16" i="4" s="1"/>
  <c r="H16" i="4" l="1"/>
  <c r="J16" i="4" s="1"/>
  <c r="C17" i="4"/>
  <c r="L16" i="4"/>
  <c r="E17" i="4" l="1"/>
  <c r="F17" i="4" s="1"/>
  <c r="N16" i="4"/>
  <c r="M16" i="4"/>
  <c r="H17" i="4" l="1"/>
  <c r="J17" i="4" s="1"/>
  <c r="C18" i="4"/>
  <c r="L17" i="4"/>
  <c r="E18" i="4" l="1"/>
  <c r="F18" i="4" s="1"/>
  <c r="M17" i="4"/>
  <c r="N17" i="4"/>
  <c r="C19" i="4" l="1"/>
  <c r="H18" i="4"/>
  <c r="J18" i="4" s="1"/>
  <c r="L18" i="4"/>
  <c r="N18" i="4" l="1"/>
  <c r="M18" i="4"/>
  <c r="E19" i="4"/>
  <c r="F19" i="4" s="1"/>
  <c r="C20" i="4" l="1"/>
  <c r="H19" i="4"/>
  <c r="J19" i="4" s="1"/>
  <c r="L19" i="4"/>
  <c r="N19" i="4" l="1"/>
  <c r="M19" i="4"/>
  <c r="E20" i="4"/>
  <c r="F20" i="4" s="1"/>
  <c r="C21" i="4" l="1"/>
  <c r="H20" i="4"/>
  <c r="J20" i="4" s="1"/>
  <c r="L20" i="4"/>
  <c r="N20" i="4" l="1"/>
  <c r="M20" i="4"/>
  <c r="E21" i="4"/>
  <c r="F21" i="4" s="1"/>
  <c r="H21" i="4" l="1"/>
  <c r="J21" i="4" s="1"/>
  <c r="C22" i="4"/>
  <c r="L21" i="4"/>
  <c r="E22" i="4" l="1"/>
  <c r="F22" i="4" s="1"/>
  <c r="N21" i="4"/>
  <c r="M21" i="4"/>
  <c r="H22" i="4" l="1"/>
  <c r="J22" i="4" s="1"/>
  <c r="C23" i="4"/>
  <c r="L22" i="4"/>
  <c r="E23" i="4" l="1"/>
  <c r="F23" i="4" s="1"/>
  <c r="N22" i="4"/>
  <c r="M22" i="4"/>
  <c r="C24" i="4" l="1"/>
  <c r="H23" i="4"/>
  <c r="J23" i="4" s="1"/>
  <c r="L23" i="4"/>
  <c r="N23" i="4" l="1"/>
  <c r="M23" i="4"/>
  <c r="E24" i="4"/>
  <c r="F24" i="4" s="1"/>
  <c r="C25" i="4" l="1"/>
  <c r="H24" i="4"/>
  <c r="J24" i="4" s="1"/>
  <c r="L24" i="4"/>
  <c r="N24" i="4" l="1"/>
  <c r="M24" i="4"/>
  <c r="E25" i="4"/>
  <c r="F25" i="4"/>
  <c r="C26" i="4" l="1"/>
  <c r="H25" i="4"/>
  <c r="J25" i="4" s="1"/>
  <c r="L25" i="4"/>
  <c r="N25" i="4" l="1"/>
  <c r="M25" i="4"/>
  <c r="E26" i="4"/>
  <c r="F26" i="4" s="1"/>
  <c r="H26" i="4" l="1"/>
  <c r="J26" i="4" s="1"/>
  <c r="C27" i="4"/>
  <c r="L26" i="4"/>
  <c r="E27" i="4" l="1"/>
  <c r="F27" i="4" s="1"/>
  <c r="N26" i="4"/>
  <c r="M26" i="4"/>
  <c r="H27" i="4" l="1"/>
  <c r="J27" i="4" s="1"/>
  <c r="C28" i="4"/>
  <c r="L27" i="4"/>
  <c r="E28" i="4" l="1"/>
  <c r="F28" i="4" s="1"/>
  <c r="M27" i="4"/>
  <c r="N27" i="4"/>
  <c r="H28" i="4" l="1"/>
  <c r="J28" i="4" s="1"/>
  <c r="C29" i="4"/>
  <c r="L28" i="4"/>
  <c r="E29" i="4" l="1"/>
  <c r="F29" i="4" s="1"/>
  <c r="M28" i="4"/>
  <c r="N28" i="4"/>
  <c r="C30" i="4" l="1"/>
  <c r="H29" i="4"/>
  <c r="J29" i="4" s="1"/>
  <c r="L29" i="4"/>
  <c r="N29" i="4" l="1"/>
  <c r="M29" i="4"/>
  <c r="E30" i="4"/>
  <c r="F30" i="4" s="1"/>
  <c r="C31" i="4" l="1"/>
  <c r="H30" i="4"/>
  <c r="J30" i="4" s="1"/>
  <c r="L30" i="4"/>
  <c r="N30" i="4" l="1"/>
  <c r="M30" i="4"/>
  <c r="E31" i="4"/>
  <c r="F31" i="4" s="1"/>
  <c r="H31" i="4" l="1"/>
  <c r="J31" i="4" s="1"/>
  <c r="C32" i="4"/>
  <c r="L31" i="4"/>
  <c r="E32" i="4" l="1"/>
  <c r="F32" i="4" s="1"/>
  <c r="N31" i="4"/>
  <c r="M31" i="4"/>
  <c r="H32" i="4" l="1"/>
  <c r="J32" i="4" s="1"/>
  <c r="C33" i="4"/>
  <c r="L32" i="4"/>
  <c r="E33" i="4" l="1"/>
  <c r="F33" i="4" s="1"/>
  <c r="N32" i="4"/>
  <c r="M32" i="4"/>
  <c r="H33" i="4" l="1"/>
  <c r="J33" i="4" s="1"/>
  <c r="C34" i="4"/>
  <c r="L33" i="4"/>
  <c r="E34" i="4" l="1"/>
  <c r="F34" i="4" s="1"/>
  <c r="M33" i="4"/>
  <c r="N33" i="4"/>
  <c r="H34" i="4" l="1"/>
  <c r="J34" i="4" s="1"/>
  <c r="C35" i="4"/>
  <c r="L34" i="4"/>
  <c r="E35" i="4" l="1"/>
  <c r="F35" i="4"/>
  <c r="N34" i="4"/>
  <c r="M34" i="4"/>
  <c r="C36" i="4" l="1"/>
  <c r="H35" i="4"/>
  <c r="J35" i="4" s="1"/>
  <c r="L35" i="4"/>
  <c r="N35" i="4" l="1"/>
  <c r="M35" i="4"/>
  <c r="E36" i="4"/>
  <c r="F36" i="4" s="1"/>
  <c r="C37" i="4" l="1"/>
  <c r="H36" i="4"/>
  <c r="J36" i="4" s="1"/>
  <c r="L36" i="4"/>
  <c r="N36" i="4" l="1"/>
  <c r="M36" i="4"/>
  <c r="E37" i="4"/>
  <c r="F37" i="4" s="1"/>
  <c r="H37" i="4" l="1"/>
  <c r="J37" i="4" s="1"/>
  <c r="C38" i="4"/>
  <c r="L37" i="4"/>
  <c r="E38" i="4" l="1"/>
  <c r="F38" i="4" s="1"/>
  <c r="N37" i="4"/>
  <c r="M37" i="4"/>
  <c r="H38" i="4" l="1"/>
  <c r="J38" i="4" s="1"/>
  <c r="C39" i="4"/>
  <c r="L38" i="4"/>
  <c r="E39" i="4" l="1"/>
  <c r="F39" i="4" s="1"/>
  <c r="N38" i="4"/>
  <c r="M38" i="4"/>
  <c r="H39" i="4" l="1"/>
  <c r="J39" i="4" s="1"/>
  <c r="C40" i="4"/>
  <c r="L39" i="4"/>
  <c r="E40" i="4" l="1"/>
  <c r="F40" i="4" s="1"/>
  <c r="N39" i="4"/>
  <c r="M39" i="4"/>
  <c r="C41" i="4" l="1"/>
  <c r="H40" i="4"/>
  <c r="J40" i="4" s="1"/>
  <c r="L40" i="4"/>
  <c r="N40" i="4" l="1"/>
  <c r="M40" i="4"/>
  <c r="E41" i="4"/>
  <c r="F41" i="4"/>
  <c r="C42" i="4" l="1"/>
  <c r="H41" i="4"/>
  <c r="J41" i="4" s="1"/>
  <c r="L41" i="4"/>
  <c r="N41" i="4" l="1"/>
  <c r="M41" i="4"/>
  <c r="E42" i="4"/>
  <c r="F42" i="4" s="1"/>
  <c r="H42" i="4" l="1"/>
  <c r="J42" i="4" s="1"/>
  <c r="C43" i="4"/>
  <c r="L42" i="4"/>
  <c r="E43" i="4" l="1"/>
  <c r="F43" i="4" s="1"/>
  <c r="N42" i="4"/>
  <c r="M42" i="4"/>
  <c r="H43" i="4" l="1"/>
  <c r="J43" i="4" s="1"/>
  <c r="C44" i="4"/>
  <c r="L43" i="4"/>
  <c r="E44" i="4" l="1"/>
  <c r="F44" i="4" s="1"/>
  <c r="N43" i="4"/>
  <c r="M43" i="4"/>
  <c r="H44" i="4" l="1"/>
  <c r="J44" i="4" s="1"/>
  <c r="C45" i="4"/>
  <c r="L44" i="4"/>
  <c r="E45" i="4" l="1"/>
  <c r="F45" i="4" s="1"/>
  <c r="M44" i="4"/>
  <c r="N44" i="4"/>
  <c r="C46" i="4" l="1"/>
  <c r="H45" i="4"/>
  <c r="J45" i="4" s="1"/>
  <c r="L45" i="4"/>
  <c r="N45" i="4" l="1"/>
  <c r="M45" i="4"/>
  <c r="E46" i="4"/>
  <c r="F46" i="4"/>
  <c r="C47" i="4" l="1"/>
  <c r="H46" i="4"/>
  <c r="J46" i="4" s="1"/>
  <c r="L46" i="4"/>
  <c r="N46" i="4" l="1"/>
  <c r="M46" i="4"/>
  <c r="E47" i="4"/>
  <c r="F47" i="4" s="1"/>
  <c r="C48" i="4" l="1"/>
  <c r="H47" i="4"/>
  <c r="J47" i="4" s="1"/>
  <c r="L47" i="4"/>
  <c r="N47" i="4" l="1"/>
  <c r="M47" i="4"/>
  <c r="E48" i="4"/>
  <c r="F48" i="4" s="1"/>
  <c r="H48" i="4" l="1"/>
  <c r="J48" i="4" s="1"/>
  <c r="C49" i="4"/>
  <c r="L48" i="4"/>
  <c r="E49" i="4" l="1"/>
  <c r="F49" i="4" s="1"/>
  <c r="N48" i="4"/>
  <c r="M48" i="4"/>
  <c r="H49" i="4" l="1"/>
  <c r="J49" i="4" s="1"/>
  <c r="C50" i="4"/>
  <c r="L49" i="4"/>
  <c r="E50" i="4" l="1"/>
  <c r="F50" i="4" s="1"/>
  <c r="M49" i="4"/>
  <c r="N49" i="4"/>
  <c r="C51" i="4" l="1"/>
  <c r="H50" i="4"/>
  <c r="J50" i="4" s="1"/>
  <c r="L50" i="4"/>
  <c r="N50" i="4" l="1"/>
  <c r="M50" i="4"/>
  <c r="E51" i="4"/>
  <c r="F51" i="4"/>
  <c r="C52" i="4" l="1"/>
  <c r="H51" i="4"/>
  <c r="J51" i="4" s="1"/>
  <c r="L51" i="4"/>
  <c r="N51" i="4" l="1"/>
  <c r="M51" i="4"/>
  <c r="E52" i="4"/>
  <c r="F52" i="4" s="1"/>
  <c r="C53" i="4" l="1"/>
  <c r="H52" i="4"/>
  <c r="J52" i="4" s="1"/>
  <c r="L52" i="4"/>
  <c r="N52" i="4" l="1"/>
  <c r="M52" i="4"/>
  <c r="E53" i="4"/>
  <c r="F53" i="4" s="1"/>
  <c r="H53" i="4" l="1"/>
  <c r="J53" i="4" s="1"/>
  <c r="C54" i="4"/>
  <c r="L53" i="4"/>
  <c r="E54" i="4" l="1"/>
  <c r="F54" i="4" s="1"/>
  <c r="N53" i="4"/>
  <c r="M53" i="4"/>
  <c r="H54" i="4" l="1"/>
  <c r="J54" i="4" s="1"/>
  <c r="C55" i="4"/>
  <c r="L54" i="4"/>
  <c r="E55" i="4" l="1"/>
  <c r="F55" i="4" s="1"/>
  <c r="N54" i="4"/>
  <c r="M54" i="4"/>
  <c r="H55" i="4" l="1"/>
  <c r="J55" i="4" s="1"/>
  <c r="C56" i="4"/>
  <c r="L55" i="4"/>
  <c r="E56" i="4" l="1"/>
  <c r="F56" i="4" s="1"/>
  <c r="N55" i="4"/>
  <c r="M55" i="4"/>
  <c r="C57" i="4" l="1"/>
  <c r="H56" i="4"/>
  <c r="J56" i="4" s="1"/>
  <c r="L56" i="4"/>
  <c r="N56" i="4" l="1"/>
  <c r="M56" i="4"/>
  <c r="E57" i="4"/>
  <c r="F57" i="4"/>
  <c r="C58" i="4" l="1"/>
  <c r="H57" i="4"/>
  <c r="J57" i="4" s="1"/>
  <c r="L57" i="4"/>
  <c r="N57" i="4" l="1"/>
  <c r="M57" i="4"/>
  <c r="E58" i="4"/>
  <c r="F58" i="4" s="1"/>
  <c r="C59" i="4" l="1"/>
  <c r="H58" i="4"/>
  <c r="J58" i="4" s="1"/>
  <c r="L58" i="4"/>
  <c r="N58" i="4" l="1"/>
  <c r="M58" i="4"/>
  <c r="E59" i="4"/>
  <c r="F59" i="4" s="1"/>
  <c r="H59" i="4" l="1"/>
  <c r="J59" i="4" s="1"/>
  <c r="C60" i="4"/>
  <c r="L59" i="4"/>
  <c r="E60" i="4" l="1"/>
  <c r="F60" i="4" s="1"/>
  <c r="M59" i="4"/>
  <c r="N59" i="4"/>
  <c r="H60" i="4" l="1"/>
  <c r="J60" i="4" s="1"/>
  <c r="C61" i="4"/>
  <c r="L60" i="4"/>
  <c r="E61" i="4" l="1"/>
  <c r="F61" i="4" s="1"/>
  <c r="M60" i="4"/>
  <c r="N60" i="4"/>
  <c r="C62" i="4" l="1"/>
  <c r="H61" i="4"/>
  <c r="J61" i="4" s="1"/>
  <c r="L61" i="4"/>
  <c r="N61" i="4" l="1"/>
  <c r="M61" i="4"/>
  <c r="E62" i="4"/>
  <c r="F62" i="4"/>
  <c r="C63" i="4" l="1"/>
  <c r="H62" i="4"/>
  <c r="J62" i="4" s="1"/>
  <c r="L62" i="4"/>
  <c r="N62" i="4" l="1"/>
  <c r="M62" i="4"/>
  <c r="E63" i="4"/>
  <c r="F63" i="4" s="1"/>
  <c r="C64" i="4" l="1"/>
  <c r="H63" i="4"/>
  <c r="J63" i="4" s="1"/>
  <c r="L63" i="4"/>
  <c r="N63" i="4" l="1"/>
  <c r="M63" i="4"/>
  <c r="E64" i="4"/>
  <c r="F64" i="4" s="1"/>
  <c r="H64" i="4" l="1"/>
  <c r="J64" i="4" s="1"/>
  <c r="C65" i="4"/>
  <c r="L64" i="4"/>
  <c r="E65" i="4" l="1"/>
  <c r="F65" i="4" s="1"/>
  <c r="N64" i="4"/>
  <c r="M64" i="4"/>
  <c r="H65" i="4" l="1"/>
  <c r="J65" i="4" s="1"/>
  <c r="L65" i="4"/>
  <c r="M65" i="4" l="1"/>
  <c r="N65" i="4"/>
  <c r="B19" i="3" s="1"/>
  <c r="E9" i="3" l="1"/>
  <c r="B20" i="3"/>
</calcChain>
</file>

<file path=xl/sharedStrings.xml><?xml version="1.0" encoding="utf-8"?>
<sst xmlns="http://schemas.openxmlformats.org/spreadsheetml/2006/main" count="277" uniqueCount="249">
  <si>
    <t>财务自由目标计算器｜慢富人生版</t>
  </si>
  <si>
    <t>这个表格按“节流、创收、长期投资、节奏感”的慢富路径设计。新版算法采用当前购买力口径，核心测算未考虑通胀；债务会扣减投资性资产，房贷月供会在还清后自动退出未来生活成本。</t>
  </si>
  <si>
    <t>使用顺序</t>
  </si>
  <si>
    <t>说明</t>
  </si>
  <si>
    <t>1. 填写输入区</t>
  </si>
  <si>
    <t>只改黄色单元格，蓝色字体代表可修改输入。</t>
  </si>
  <si>
    <t>2. 看结果仪表盘</t>
  </si>
  <si>
    <t>重点看目标资产、当前进度、自由覆盖率、预计达成年限、当前阶段。</t>
  </si>
  <si>
    <t>3. 看年度路径</t>
  </si>
  <si>
    <t>观察资产、收入覆盖率、目标缺口如何随时间变化。</t>
  </si>
  <si>
    <t>4. 看情景对比</t>
  </si>
  <si>
    <t>比较保守、基准、积极、低成本生活四种路径。</t>
  </si>
  <si>
    <t>5. 看慢富评分</t>
  </si>
  <si>
    <t>从安全垫、储蓄率、覆盖率、收入结构、债务风险、节奏状态六个维度判断当前系统是否健康。</t>
  </si>
  <si>
    <t>核心公式：自由覆盖率 =（当前可持续收入 + 债务调整后投资资产 × 安全提取率 ÷ 12）÷ 目标月生活成本；目标投资资产 = max(目标月生活成本 - 可持续月收入, 0) × 12 ÷ 安全提取率 × 安全系数。年度路径会额外考虑房贷月供到期退出。</t>
  </si>
  <si>
    <t>理念来源</t>
  </si>
  <si>
    <t>表格设计依据</t>
  </si>
  <si>
    <t>自由定义</t>
  </si>
  <si>
    <t>不依赖每天出卖时间时，依然有收入覆盖生活成本，开始拥有生活主导权。</t>
  </si>
  <si>
    <t>四阶段路径</t>
  </si>
  <si>
    <t>节流、创收、投资、节奏感与生活设计。</t>
  </si>
  <si>
    <t>应急金目标</t>
  </si>
  <si>
    <t>按基本生活开支的 3 至 6 个月作为安全垫；收入不稳定时建议更高。</t>
  </si>
  <si>
    <t>复利逻辑</t>
  </si>
  <si>
    <t>长期结果主要由本金、时间、稳定心态和少犯大错共同决定。</t>
  </si>
  <si>
    <t>住房口径</t>
  </si>
  <si>
    <t>当前生活成本包含房贷月供；年度路径中，超过房贷剩余还款年限后自动移除房贷月供。</t>
  </si>
  <si>
    <t>提示：本表用于目标测算和个人规划，不构成投资建议。收益率、提取率、通胀率请按个人风险承受能力保守填写。</t>
  </si>
  <si>
    <t>输入区｜只填写黄色单元格</t>
  </si>
  <si>
    <t>蓝色字体为用户输入，黑色字体为自动计算或说明。本表采用当前购买力口径，核心测算未考虑通胀。房贷月供会在房贷剩余还款年限后自动退出未来生活成本。</t>
  </si>
  <si>
    <t>个人与核心假设</t>
  </si>
  <si>
    <t>填写值</t>
  </si>
  <si>
    <t>基本生活成本</t>
  </si>
  <si>
    <t>月金额</t>
  </si>
  <si>
    <t>资产与债务</t>
  </si>
  <si>
    <t>当前金额</t>
  </si>
  <si>
    <t>当前年龄</t>
  </si>
  <si>
    <t>房租/长期住房成本</t>
  </si>
  <si>
    <t>应急金/安全垫</t>
  </si>
  <si>
    <t>家庭月主动净收入</t>
  </si>
  <si>
    <t>房贷月供</t>
  </si>
  <si>
    <t>指数基金/ETF</t>
  </si>
  <si>
    <t>每月新增投资金额</t>
  </si>
  <si>
    <t>伙食买菜</t>
  </si>
  <si>
    <t>黄金/现金类资产</t>
  </si>
  <si>
    <t>当前月产品/副业净收入</t>
  </si>
  <si>
    <t>水电通讯</t>
  </si>
  <si>
    <t>养老金/长期账户</t>
  </si>
  <si>
    <t>当前月其他被动收入</t>
  </si>
  <si>
    <t>交通通勤</t>
  </si>
  <si>
    <t>其他投资资产</t>
  </si>
  <si>
    <t>其他长期稳定月收入</t>
  </si>
  <si>
    <t>保险医疗</t>
  </si>
  <si>
    <t>投资性资产合计</t>
  </si>
  <si>
    <t>年化预期收益率</t>
  </si>
  <si>
    <t>子女教育</t>
  </si>
  <si>
    <t>金融资产合计</t>
  </si>
  <si>
    <t>安全提取率</t>
  </si>
  <si>
    <t>父母赡养</t>
  </si>
  <si>
    <t>自由安全系数</t>
  </si>
  <si>
    <t>其他必要支出</t>
  </si>
  <si>
    <t>债务</t>
  </si>
  <si>
    <t>当前余额/年限</t>
  </si>
  <si>
    <t>应急金目标月数</t>
  </si>
  <si>
    <t>基本生活成本合计</t>
  </si>
  <si>
    <t>房贷余额</t>
  </si>
  <si>
    <t>目标覆盖口径</t>
  </si>
  <si>
    <t>房贷剩余还款年限</t>
  </si>
  <si>
    <t>副业/产品收入年增长率</t>
  </si>
  <si>
    <t>可选/弹性支出</t>
  </si>
  <si>
    <t>消费贷余额</t>
  </si>
  <si>
    <t>健康家庭节奏自评分（1-5）</t>
  </si>
  <si>
    <t>外卖奶茶</t>
  </si>
  <si>
    <t>信用卡待还</t>
  </si>
  <si>
    <t>说明：其他长期稳定月收入指不依赖上班打卡、且未来较可能长期持续的收入，例如净租金、养老金、版权收入、稳定分成等；工资、临时项目收入、一次性收入不建议计入。</t>
  </si>
  <si>
    <t>打车停车</t>
  </si>
  <si>
    <t>其他债务</t>
  </si>
  <si>
    <t>会员订阅</t>
  </si>
  <si>
    <t>债务合计</t>
  </si>
  <si>
    <t>冲动购物</t>
  </si>
  <si>
    <t>娱乐旅游</t>
  </si>
  <si>
    <t>其他弹性支出</t>
  </si>
  <si>
    <t>弹性支出合计</t>
  </si>
  <si>
    <t>全部生活成本</t>
  </si>
  <si>
    <t>结果仪表盘｜自由目标一眼看清</t>
  </si>
  <si>
    <t>核心口径：本表采用当前购买力测算，未考虑通胀。债务会先从投资性资产中扣除，得到“债务调整后投资资产”；房贷月供会在年度路径中按剩余还款年限自动退出未来生活成本。</t>
  </si>
  <si>
    <t>指标</t>
  </si>
  <si>
    <t>结果</t>
  </si>
  <si>
    <t>解释</t>
  </si>
  <si>
    <t>自由覆盖率</t>
  </si>
  <si>
    <t>目标进度</t>
  </si>
  <si>
    <t>目标月生活成本</t>
  </si>
  <si>
    <t>当前计算口径下，需要被覆盖的月成本；当前口径未考虑通胀</t>
  </si>
  <si>
    <t>目标年生活成本</t>
  </si>
  <si>
    <t>目标月生活成本 × 12</t>
  </si>
  <si>
    <t>越接近 100%，工资依赖越低</t>
  </si>
  <si>
    <t>扣除非房贷债务后投资资产 / 目标投资资产</t>
  </si>
  <si>
    <t>当前投资性资产</t>
  </si>
  <si>
    <t>用于长期配置、可产生投资收益的资产</t>
  </si>
  <si>
    <t>房贷、消费贷、信用卡等债务合计</t>
  </si>
  <si>
    <t>预计达成年限</t>
  </si>
  <si>
    <t>应急金完成率</t>
  </si>
  <si>
    <t>扣除非房贷债务后投资资产</t>
  </si>
  <si>
    <t>当前投资性资产 - 消费贷 - 信用卡 - 其他债务；房贷余额不在这里扣减，房贷通过月供和剩余还款年限处理</t>
  </si>
  <si>
    <t>当前金融净资产</t>
  </si>
  <si>
    <t>金融资产合计 - 债务合计</t>
  </si>
  <si>
    <t>按60年路径自动测算</t>
  </si>
  <si>
    <t>安全垫是否足够</t>
  </si>
  <si>
    <t>当前可持续月收入</t>
  </si>
  <si>
    <t>产品/副业 + 其他被动 + 其他长期稳定月收入</t>
  </si>
  <si>
    <t>当前月投资可提取收入</t>
  </si>
  <si>
    <t>扣除非房贷债务后投资资产 × 安全提取率 ÷ 12</t>
  </si>
  <si>
    <t>项目</t>
  </si>
  <si>
    <t>当前自由覆盖率</t>
  </si>
  <si>
    <t>可持续收入 + 投资可提取收入 ÷ 目标月成本</t>
  </si>
  <si>
    <t>可持续月收入</t>
  </si>
  <si>
    <t>目标投资资产</t>
  </si>
  <si>
    <t>达到自由覆盖所需的投资性资产</t>
  </si>
  <si>
    <t>投资可提取收入</t>
  </si>
  <si>
    <t>距离目标还差</t>
  </si>
  <si>
    <t>目标投资资产 - 扣除非房贷债务后投资资产</t>
  </si>
  <si>
    <t>月缺口</t>
  </si>
  <si>
    <t>扣除非房贷债务后投资资产 ÷ 目标投资资产</t>
  </si>
  <si>
    <t>当前应急金 ÷ 应急金目标</t>
  </si>
  <si>
    <t>当前储蓄率</t>
  </si>
  <si>
    <t>每月新增投资金额 ÷ 家庭月主动净收入</t>
  </si>
  <si>
    <t>按年度路径 60 年测算。已改为旧版 Excel 兼容算法：用辅助列识别首次达标年份，再做线性插值；会考虑房贷还清后月供退出生活成本</t>
  </si>
  <si>
    <t>预计达成年龄</t>
  </si>
  <si>
    <t>当前年龄 + 预计达成年限</t>
  </si>
  <si>
    <t>当前阶段</t>
  </si>
  <si>
    <t>按安全垫、储蓄率、覆盖率综合判断</t>
  </si>
  <si>
    <t>一句话建议</t>
  </si>
  <si>
    <t>自动生成下一步行动方向</t>
  </si>
  <si>
    <t>年度路径｜资产、覆盖率与目标缺口</t>
  </si>
  <si>
    <t>年度路径采用当前购买力口径，未考虑通胀。目标月成本会在房贷剩余还款年限后自动扣除房贷月供；副业/产品收入按输入区增长率增长。</t>
  </si>
  <si>
    <t>年份</t>
  </si>
  <si>
    <t>年龄</t>
  </si>
  <si>
    <t>年初可用于测算的投资资产</t>
  </si>
  <si>
    <t>年度新增投入</t>
  </si>
  <si>
    <t>年度投资收益</t>
  </si>
  <si>
    <t>年末可用于测算的投资资产</t>
  </si>
  <si>
    <t>投资月可提取</t>
  </si>
  <si>
    <t>目标月成本</t>
  </si>
  <si>
    <t>目标资产</t>
  </si>
  <si>
    <t>目标缺口</t>
  </si>
  <si>
    <t>阶段判断</t>
  </si>
  <si>
    <t>达标序号</t>
  </si>
  <si>
    <t>情景对比｜不同假设下的自由路径</t>
  </si>
  <si>
    <t>情景对比采用当前购买力口径，未考虑通胀；目标缺口按债务调整后投资资产计算。年度路径页会进一步考虑房贷还清后月供退出目标生活成本。</t>
  </si>
  <si>
    <t>情景</t>
  </si>
  <si>
    <t>年化收益率</t>
  </si>
  <si>
    <t>每月新增投入</t>
  </si>
  <si>
    <t>安全系数</t>
  </si>
  <si>
    <t>达成年龄</t>
  </si>
  <si>
    <t>保守情景</t>
  </si>
  <si>
    <t>基准情景</t>
  </si>
  <si>
    <t>积极情景</t>
  </si>
  <si>
    <t>低成本生活</t>
  </si>
  <si>
    <t>副业加速</t>
  </si>
  <si>
    <t>慢富评分｜当前自由系统健康度</t>
  </si>
  <si>
    <t>评分口径同步更新：债务风险按债务合计/金融资产合计测算，自由覆盖率按债务调整后投资资产计算。</t>
  </si>
  <si>
    <t>维度</t>
  </si>
  <si>
    <t>权重</t>
  </si>
  <si>
    <t>当前值</t>
  </si>
  <si>
    <t>得分</t>
  </si>
  <si>
    <t>判断规则</t>
  </si>
  <si>
    <t>自动建议</t>
  </si>
  <si>
    <t>应急金安全垫</t>
  </si>
  <si>
    <t>应急金完成率达到 100% 为满分</t>
  </si>
  <si>
    <t>储蓄率</t>
  </si>
  <si>
    <t>储蓄率 30% 以上为满分</t>
  </si>
  <si>
    <t>覆盖率达到 100% 为满分，覆盖率已按债务调整后资产计算</t>
  </si>
  <si>
    <t>收入多元化</t>
  </si>
  <si>
    <t>可持续收入占总收入 30% 以上为满分</t>
  </si>
  <si>
    <t>债务风险</t>
  </si>
  <si>
    <t>债务/金融资产低于 0% 最好，超过 50% 得分趋近 0</t>
  </si>
  <si>
    <t>节奏与健康</t>
  </si>
  <si>
    <t>健康家庭节奏自评分越高越好</t>
  </si>
  <si>
    <t>总分</t>
  </si>
  <si>
    <t>评分解释</t>
  </si>
  <si>
    <t>85-100</t>
  </si>
  <si>
    <t>慢富系统较健康，重点是少折腾、守纪律、保护生活节奏。</t>
  </si>
  <si>
    <t>70-84</t>
  </si>
  <si>
    <t>系统基本成型，补齐最短板，通常是储蓄率、可持续收入或应急金。</t>
  </si>
  <si>
    <t>50-69</t>
  </si>
  <si>
    <t>已有起点，离自由引擎还较远，需要先把现金流和本金积累做厚。</t>
  </si>
  <si>
    <t>0-49</t>
  </si>
  <si>
    <t>先打地基：记账、节流、应急金和稳定主业现金流。</t>
  </si>
  <si>
    <t>数据字典｜公式口径与变量说明</t>
  </si>
  <si>
    <t>变量</t>
  </si>
  <si>
    <t>含义</t>
  </si>
  <si>
    <t>来自哪里</t>
  </si>
  <si>
    <t>口径说明</t>
  </si>
  <si>
    <t>生活真正离不开的月支出</t>
  </si>
  <si>
    <t>输入区 E14</t>
  </si>
  <si>
    <t>包含房租/长期住房成本、房贷月供、伙食、水电、交通、保险、教育、赡养等</t>
  </si>
  <si>
    <t>基本生活成本 + 弹性支出</t>
  </si>
  <si>
    <t>输入区 E24</t>
  </si>
  <si>
    <t>用于更保守的自由目标测算</t>
  </si>
  <si>
    <t>较可能长期持续，且不依赖上班打卡的月收入</t>
  </si>
  <si>
    <t>输入区 B10</t>
  </si>
  <si>
    <t>例如净租金、养老金、版权收入、稳定分成等；工资和一次性项目收入不建议计入</t>
  </si>
  <si>
    <t>不用每天出勤打卡仍可延续的收入</t>
  </si>
  <si>
    <t>结果仪表盘 B11</t>
  </si>
  <si>
    <t>当前产品/副业、其他被动收入、其他长期稳定月收入</t>
  </si>
  <si>
    <t>投资性资产</t>
  </si>
  <si>
    <t>用于长期配置和提取收益的资产</t>
  </si>
  <si>
    <t>输入区 H10</t>
  </si>
  <si>
    <t>不含应急金，避免把安全垫算进投资收益</t>
  </si>
  <si>
    <t>债务调整后投资资产</t>
  </si>
  <si>
    <t>扣除债务后的可用于自由测算的投资资产</t>
  </si>
  <si>
    <t>结果仪表盘 B9</t>
  </si>
  <si>
    <t>公式为 MAX(投资性资产 - 债务合计, 0)</t>
  </si>
  <si>
    <t>房贷月供还需要持续多少年</t>
  </si>
  <si>
    <t>输入区 H15</t>
  </si>
  <si>
    <t>年度路径中，超过该年限后房贷月供自动退出未来目标月成本</t>
  </si>
  <si>
    <t>每年从资产中可提取的比例假设</t>
  </si>
  <si>
    <t>输入区 B12</t>
  </si>
  <si>
    <t>默认 4%，用户可自行调低或调高</t>
  </si>
  <si>
    <t>给目标资产增加冗余</t>
  </si>
  <si>
    <t>输入区 B13</t>
  </si>
  <si>
    <t>默认 1.15，代表多留 15% 缓冲</t>
  </si>
  <si>
    <t>可持续收入和投资收益对目标生活成本的覆盖程度</t>
  </si>
  <si>
    <t>结果仪表盘 B13</t>
  </si>
  <si>
    <t>达到 100% 即进入完全覆盖状态</t>
  </si>
  <si>
    <t>覆盖月成本所需的投资性资产</t>
  </si>
  <si>
    <t>结果仪表盘 B14</t>
  </si>
  <si>
    <t>公式考虑可持续收入和安全系数，未考虑通胀</t>
  </si>
  <si>
    <t>基本生活成本乘以目标月数</t>
  </si>
  <si>
    <t>结果仪表盘 B17</t>
  </si>
  <si>
    <t>自由职业或收入波动者可把月数调到 8-12</t>
  </si>
  <si>
    <t>测算口径</t>
  </si>
  <si>
    <t>当前购买力口径</t>
  </si>
  <si>
    <t>全表</t>
  </si>
  <si>
    <t>核心测算未考虑通胀，避免参数过多导致普通用户难以理解</t>
  </si>
  <si>
    <t>收入观</t>
  </si>
  <si>
    <t>主业提供现金流，副业和产品型收入提供第二引擎。</t>
  </si>
  <si>
    <t>自由观</t>
  </si>
  <si>
    <t>财务自由的核心是节奏权和选择权。</t>
  </si>
  <si>
    <t>消费观</t>
  </si>
  <si>
    <t>反消费主义和低欲望生活会降低自由门槛。</t>
  </si>
  <si>
    <t>房贷余额处理</t>
  </si>
  <si>
    <t>房贷余额用于金融净资产和债务风险，不从投资资产里重复扣减</t>
  </si>
  <si>
    <t>输入区 H14</t>
  </si>
  <si>
    <t>房贷已经通过房贷月供进入生活成本，并在剩余还款年限后自动退出</t>
  </si>
  <si>
    <t>非房贷债务</t>
  </si>
  <si>
    <t>消费贷、信用卡、其他债务会从可用于测算的投资资产中扣除</t>
  </si>
  <si>
    <t>输入区 H16:H18</t>
  </si>
  <si>
    <t>避免高息债务导致自由覆盖率虚高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</si>
</sst>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;[Red]\(#,##0\);\-"/>
    <numFmt numFmtId="178" formatCode="\¥#,##0;[Red]\(\¥#,##0\);\-"/>
    <numFmt numFmtId="179" formatCode="0.0"/>
    <numFmt numFmtId="180" formatCode="0.0%"/>
  </numFmts>
  <fonts count="18">
    <font>
      <sz val="11"/>
      <name val="Carlito"/>
    </font>
    <font>
      <b/>
      <sz val="16"/>
      <color rgb="FFFFFFFF"/>
      <name val="Microsoft YaHei"/>
      <family val="2"/>
      <charset val="134"/>
    </font>
    <font>
      <sz val="11"/>
      <name val="Microsoft YaHei"/>
      <family val="2"/>
      <charset val="134"/>
    </font>
    <font>
      <b/>
      <sz val="11"/>
      <color rgb="FF1F3A34"/>
      <name val="Microsoft YaHei"/>
      <family val="2"/>
      <charset val="134"/>
    </font>
    <font>
      <b/>
      <sz val="11"/>
      <color rgb="FFFFFFFF"/>
      <name val="Microsoft YaHei"/>
      <family val="2"/>
      <charset val="134"/>
    </font>
    <font>
      <sz val="11"/>
      <color rgb="FF1F3A34"/>
      <name val="Microsoft YaHei"/>
      <family val="2"/>
      <charset val="134"/>
    </font>
    <font>
      <b/>
      <sz val="11"/>
      <color rgb="FFC00000"/>
      <name val="Microsoft YaHei"/>
      <family val="2"/>
      <charset val="134"/>
    </font>
    <font>
      <sz val="11"/>
      <color rgb="FF1F3A34"/>
      <name val="Microsoft YaHei"/>
      <family val="2"/>
      <charset val="134"/>
    </font>
    <font>
      <sz val="11"/>
      <color rgb="FF0000FF"/>
      <name val="Microsoft YaHei"/>
      <family val="2"/>
      <charset val="134"/>
    </font>
    <font>
      <b/>
      <sz val="11"/>
      <color rgb="FF000000"/>
      <name val="Microsoft YaHei"/>
      <family val="2"/>
      <charset val="134"/>
    </font>
    <font>
      <sz val="11"/>
      <color rgb="FF6B7280"/>
      <name val="Microsoft YaHei"/>
      <family val="2"/>
      <charset val="134"/>
    </font>
    <font>
      <b/>
      <sz val="18"/>
      <color rgb="FF1F3A34"/>
      <name val="Microsoft YaHei"/>
      <family val="2"/>
      <charset val="134"/>
    </font>
    <font>
      <sz val="11"/>
      <color rgb="FF000000"/>
      <name val="Microsoft YaHei"/>
      <family val="2"/>
      <charset val="134"/>
    </font>
    <font>
      <b/>
      <sz val="16"/>
      <color rgb="FF1F3A34"/>
      <name val="Microsoft YaHei"/>
      <family val="2"/>
      <charset val="134"/>
    </font>
    <font>
      <b/>
      <sz val="11"/>
      <color rgb="FF0000FF"/>
      <name val="Microsoft YaHei"/>
      <family val="2"/>
      <charset val="134"/>
    </font>
    <font>
      <sz val="11"/>
      <color rgb="FFF7F2E8"/>
      <name val="Microsoft YaHei"/>
      <family val="2"/>
      <charset val="134"/>
    </font>
    <font>
      <sz val="11"/>
      <name val="Carlito"/>
    </font>
    <font>
      <sz val="9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rgb="FF1F3A34"/>
      </patternFill>
    </fill>
    <fill>
      <patternFill patternType="solid">
        <fgColor rgb="FF2F6B4F"/>
      </patternFill>
    </fill>
    <fill>
      <patternFill patternType="solid">
        <fgColor rgb="FFFBF7EF"/>
      </patternFill>
    </fill>
    <fill>
      <patternFill patternType="solid">
        <fgColor rgb="FFDDEFE3"/>
      </patternFill>
    </fill>
    <fill>
      <patternFill patternType="solid">
        <fgColor rgb="FFFCE4D6"/>
      </patternFill>
    </fill>
    <fill>
      <patternFill patternType="solid">
        <fgColor rgb="FFFFF2CC"/>
      </patternFill>
    </fill>
    <fill>
      <patternFill patternType="solid">
        <fgColor rgb="FFFFF7E6"/>
      </patternFill>
    </fill>
    <fill>
      <patternFill patternType="solid">
        <fgColor rgb="FFF6E5C8"/>
      </patternFill>
    </fill>
    <fill>
      <patternFill patternType="solid">
        <fgColor rgb="FFFBF7EF"/>
      </patternFill>
    </fill>
    <fill>
      <patternFill patternType="solid">
        <fgColor rgb="FFFFF2CC"/>
      </patternFill>
    </fill>
    <fill>
      <patternFill patternType="solid">
        <fgColor rgb="FFDDEFE3"/>
      </patternFill>
    </fill>
    <fill>
      <patternFill patternType="solid">
        <fgColor rgb="FF1F3A34"/>
      </patternFill>
    </fill>
    <fill>
      <patternFill patternType="solid">
        <fgColor rgb="FFFCE4D6"/>
      </patternFill>
    </fill>
    <fill>
      <patternFill patternType="solid">
        <fgColor rgb="FF2F6B4F"/>
      </patternFill>
    </fill>
    <fill>
      <patternFill patternType="solid">
        <fgColor rgb="FFFFF7E6"/>
      </patternFill>
    </fill>
    <fill>
      <patternFill patternType="solid">
        <fgColor rgb="FFFBF7EF"/>
      </patternFill>
    </fill>
    <fill>
      <patternFill patternType="solid">
        <fgColor rgb="FFF7F2E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6" fillId="0" borderId="0"/>
  </cellStyleXfs>
  <cellXfs count="83">
    <xf numFmtId="0" fontId="0" fillId="0" borderId="0" xfId="0"/>
    <xf numFmtId="0" fontId="2" fillId="0" borderId="0" xfId="1" applyFont="1"/>
    <xf numFmtId="0" fontId="4" fillId="3" borderId="0" xfId="1" applyFont="1" applyFill="1" applyAlignment="1">
      <alignment horizontal="center" vertical="center" wrapText="1"/>
    </xf>
    <xf numFmtId="0" fontId="3" fillId="4" borderId="0" xfId="1" applyFont="1" applyFill="1"/>
    <xf numFmtId="0" fontId="5" fillId="4" borderId="0" xfId="1" applyFont="1" applyFill="1" applyAlignment="1">
      <alignment wrapText="1"/>
    </xf>
    <xf numFmtId="0" fontId="4" fillId="2" borderId="0" xfId="1" applyFont="1" applyFill="1" applyAlignment="1">
      <alignment horizontal="left" vertical="center"/>
    </xf>
    <xf numFmtId="0" fontId="7" fillId="4" borderId="0" xfId="1" applyFont="1" applyFill="1" applyAlignment="1">
      <alignment horizontal="left" vertical="center" wrapText="1"/>
    </xf>
    <xf numFmtId="0" fontId="3" fillId="5" borderId="0" xfId="1" applyFont="1" applyFill="1" applyAlignment="1">
      <alignment horizontal="left" vertical="center" wrapText="1"/>
    </xf>
    <xf numFmtId="178" fontId="9" fillId="8" borderId="0" xfId="1" applyNumberFormat="1" applyFont="1" applyFill="1"/>
    <xf numFmtId="177" fontId="2" fillId="0" borderId="0" xfId="1" applyNumberFormat="1" applyFont="1"/>
    <xf numFmtId="0" fontId="3" fillId="4" borderId="0" xfId="1" applyFont="1" applyFill="1" applyAlignment="1">
      <alignment vertical="center"/>
    </xf>
    <xf numFmtId="3" fontId="2" fillId="0" borderId="0" xfId="1" applyNumberFormat="1" applyFont="1"/>
    <xf numFmtId="180" fontId="2" fillId="0" borderId="0" xfId="1" applyNumberFormat="1" applyFont="1"/>
    <xf numFmtId="1" fontId="2" fillId="0" borderId="0" xfId="1" applyNumberFormat="1" applyFont="1"/>
    <xf numFmtId="3" fontId="8" fillId="7" borderId="0" xfId="1" applyNumberFormat="1" applyFont="1" applyFill="1" applyAlignment="1">
      <alignment horizontal="right" vertical="center"/>
    </xf>
    <xf numFmtId="3" fontId="3" fillId="5" borderId="0" xfId="1" applyNumberFormat="1" applyFont="1" applyFill="1" applyAlignment="1">
      <alignment horizontal="right" vertical="center"/>
    </xf>
    <xf numFmtId="0" fontId="3" fillId="9" borderId="0" xfId="1" applyFont="1" applyFill="1" applyAlignment="1">
      <alignment wrapText="1"/>
    </xf>
    <xf numFmtId="0" fontId="5" fillId="10" borderId="0" xfId="1" applyFont="1" applyFill="1" applyAlignment="1">
      <alignment horizontal="left" vertical="center" wrapText="1"/>
    </xf>
    <xf numFmtId="177" fontId="8" fillId="11" borderId="0" xfId="1" applyNumberFormat="1" applyFont="1" applyFill="1" applyAlignment="1">
      <alignment horizontal="right" vertical="center"/>
    </xf>
    <xf numFmtId="3" fontId="8" fillId="11" borderId="0" xfId="1" applyNumberFormat="1" applyFont="1" applyFill="1" applyAlignment="1">
      <alignment horizontal="right" vertical="center"/>
    </xf>
    <xf numFmtId="180" fontId="8" fillId="11" borderId="0" xfId="1" applyNumberFormat="1" applyFont="1" applyFill="1" applyAlignment="1">
      <alignment horizontal="right" vertical="center"/>
    </xf>
    <xf numFmtId="1" fontId="8" fillId="11" borderId="0" xfId="1" applyNumberFormat="1" applyFont="1" applyFill="1" applyAlignment="1">
      <alignment horizontal="right" vertical="center"/>
    </xf>
    <xf numFmtId="0" fontId="5" fillId="9" borderId="0" xfId="1" applyFont="1" applyFill="1" applyAlignment="1">
      <alignment wrapText="1"/>
    </xf>
    <xf numFmtId="0" fontId="3" fillId="10" borderId="0" xfId="1" applyFont="1" applyFill="1" applyAlignment="1">
      <alignment horizontal="left" vertical="center" wrapText="1"/>
    </xf>
    <xf numFmtId="0" fontId="5" fillId="10" borderId="0" xfId="1" applyFont="1" applyFill="1" applyAlignment="1">
      <alignment wrapText="1"/>
    </xf>
    <xf numFmtId="3" fontId="14" fillId="11" borderId="0" xfId="1" applyNumberFormat="1" applyFont="1" applyFill="1" applyAlignment="1">
      <alignment horizontal="right" vertical="center"/>
    </xf>
    <xf numFmtId="0" fontId="3" fillId="12" borderId="0" xfId="1" applyFont="1" applyFill="1" applyAlignment="1">
      <alignment wrapText="1"/>
    </xf>
    <xf numFmtId="3" fontId="3" fillId="12" borderId="0" xfId="1" applyNumberFormat="1" applyFont="1" applyFill="1"/>
    <xf numFmtId="0" fontId="4" fillId="13" borderId="0" xfId="1" applyFont="1" applyFill="1" applyAlignment="1">
      <alignment horizontal="left" vertical="center" wrapText="1"/>
    </xf>
    <xf numFmtId="3" fontId="4" fillId="13" borderId="0" xfId="1" applyNumberFormat="1" applyFont="1" applyFill="1" applyAlignment="1">
      <alignment horizontal="right" vertical="center"/>
    </xf>
    <xf numFmtId="0" fontId="3" fillId="9" borderId="0" xfId="1" applyFont="1" applyFill="1" applyAlignment="1">
      <alignment horizontal="left" vertical="center" wrapText="1"/>
    </xf>
    <xf numFmtId="3" fontId="3" fillId="9" borderId="0" xfId="1" applyNumberFormat="1" applyFont="1" applyFill="1" applyAlignment="1">
      <alignment horizontal="right" vertical="center"/>
    </xf>
    <xf numFmtId="3" fontId="3" fillId="9" borderId="0" xfId="1" applyNumberFormat="1" applyFont="1" applyFill="1"/>
    <xf numFmtId="0" fontId="4" fillId="13" borderId="0" xfId="1" applyFont="1" applyFill="1" applyAlignment="1">
      <alignment horizontal="left" vertical="center"/>
    </xf>
    <xf numFmtId="3" fontId="4" fillId="13" borderId="0" xfId="1" applyNumberFormat="1" applyFont="1" applyFill="1" applyAlignment="1">
      <alignment horizontal="left" vertical="center"/>
    </xf>
    <xf numFmtId="0" fontId="3" fillId="14" borderId="0" xfId="1" applyFont="1" applyFill="1" applyAlignment="1">
      <alignment wrapText="1"/>
    </xf>
    <xf numFmtId="179" fontId="8" fillId="11" borderId="0" xfId="1" applyNumberFormat="1" applyFont="1" applyFill="1" applyAlignment="1">
      <alignment horizontal="right" vertical="center"/>
    </xf>
    <xf numFmtId="3" fontId="3" fillId="14" borderId="0" xfId="1" applyNumberFormat="1" applyFont="1" applyFill="1"/>
    <xf numFmtId="0" fontId="4" fillId="15" borderId="0" xfId="1" applyFont="1" applyFill="1" applyAlignment="1">
      <alignment horizontal="center" vertical="center" wrapText="1"/>
    </xf>
    <xf numFmtId="0" fontId="3" fillId="10" borderId="0" xfId="1" applyFont="1" applyFill="1" applyAlignment="1">
      <alignment wrapText="1"/>
    </xf>
    <xf numFmtId="0" fontId="3" fillId="10" borderId="0" xfId="1" applyFont="1" applyFill="1"/>
    <xf numFmtId="3" fontId="9" fillId="16" borderId="0" xfId="1" applyNumberFormat="1" applyFont="1" applyFill="1" applyAlignment="1">
      <alignment horizontal="right"/>
    </xf>
    <xf numFmtId="49" fontId="9" fillId="16" borderId="0" xfId="1" applyNumberFormat="1" applyFont="1" applyFill="1" applyAlignment="1">
      <alignment horizontal="right" wrapText="1"/>
    </xf>
    <xf numFmtId="0" fontId="10" fillId="10" borderId="0" xfId="1" applyFont="1" applyFill="1" applyAlignment="1">
      <alignment wrapText="1"/>
    </xf>
    <xf numFmtId="0" fontId="5" fillId="10" borderId="0" xfId="1" applyFont="1" applyFill="1" applyAlignment="1">
      <alignment horizontal="center"/>
    </xf>
    <xf numFmtId="3" fontId="12" fillId="16" borderId="0" xfId="1" applyNumberFormat="1" applyFont="1" applyFill="1"/>
    <xf numFmtId="180" fontId="8" fillId="16" borderId="0" xfId="1" applyNumberFormat="1" applyFont="1" applyFill="1"/>
    <xf numFmtId="3" fontId="8" fillId="16" borderId="0" xfId="1" applyNumberFormat="1" applyFont="1" applyFill="1"/>
    <xf numFmtId="179" fontId="12" fillId="16" borderId="0" xfId="1" applyNumberFormat="1" applyFont="1" applyFill="1"/>
    <xf numFmtId="2" fontId="8" fillId="16" borderId="0" xfId="1" applyNumberFormat="1" applyFont="1" applyFill="1"/>
    <xf numFmtId="177" fontId="12" fillId="16" borderId="0" xfId="1" applyNumberFormat="1" applyFont="1" applyFill="1" applyAlignment="1">
      <alignment horizontal="right"/>
    </xf>
    <xf numFmtId="180" fontId="12" fillId="16" borderId="0" xfId="1" applyNumberFormat="1" applyFont="1" applyFill="1" applyAlignment="1">
      <alignment horizontal="right"/>
    </xf>
    <xf numFmtId="179" fontId="12" fillId="16" borderId="0" xfId="1" applyNumberFormat="1" applyFont="1" applyFill="1" applyAlignment="1">
      <alignment horizontal="right"/>
    </xf>
    <xf numFmtId="0" fontId="12" fillId="16" borderId="0" xfId="1" applyFont="1" applyFill="1" applyAlignment="1">
      <alignment horizontal="right"/>
    </xf>
    <xf numFmtId="179" fontId="13" fillId="12" borderId="0" xfId="1" applyNumberFormat="1" applyFont="1" applyFill="1" applyAlignment="1">
      <alignment horizontal="right"/>
    </xf>
    <xf numFmtId="0" fontId="4" fillId="10" borderId="0" xfId="1" applyFont="1" applyFill="1" applyAlignment="1">
      <alignment horizontal="left" vertical="center"/>
    </xf>
    <xf numFmtId="180" fontId="9" fillId="8" borderId="0" xfId="1" applyNumberFormat="1" applyFont="1" applyFill="1" applyAlignment="1">
      <alignment horizontal="right" wrapText="1"/>
    </xf>
    <xf numFmtId="179" fontId="9" fillId="8" borderId="0" xfId="1" applyNumberFormat="1" applyFont="1" applyFill="1" applyAlignment="1">
      <alignment horizontal="right" wrapText="1"/>
    </xf>
    <xf numFmtId="179" fontId="9" fillId="8" borderId="0" xfId="1" applyNumberFormat="1" applyFont="1" applyFill="1" applyAlignment="1">
      <alignment horizontal="right" vertical="center" wrapText="1"/>
    </xf>
    <xf numFmtId="0" fontId="5" fillId="17" borderId="0" xfId="1" applyFont="1" applyFill="1" applyAlignment="1">
      <alignment wrapText="1"/>
    </xf>
    <xf numFmtId="0" fontId="3" fillId="17" borderId="0" xfId="1" applyFont="1" applyFill="1" applyAlignment="1">
      <alignment wrapText="1"/>
    </xf>
    <xf numFmtId="177" fontId="9" fillId="8" borderId="0" xfId="1" applyNumberFormat="1" applyFont="1" applyFill="1" applyAlignment="1">
      <alignment horizontal="right" wrapText="1"/>
    </xf>
    <xf numFmtId="0" fontId="10" fillId="17" borderId="0" xfId="1" applyFont="1" applyFill="1" applyAlignment="1">
      <alignment wrapText="1"/>
    </xf>
    <xf numFmtId="0" fontId="15" fillId="18" borderId="0" xfId="1" applyFont="1" applyFill="1"/>
    <xf numFmtId="0" fontId="1" fillId="2" borderId="0" xfId="1" applyFont="1" applyFill="1" applyAlignment="1">
      <alignment horizontal="left" vertical="center"/>
    </xf>
    <xf numFmtId="0" fontId="2" fillId="0" borderId="0" xfId="1" applyFont="1"/>
    <xf numFmtId="0" fontId="3" fillId="9" borderId="0" xfId="1" applyFont="1" applyFill="1" applyAlignment="1">
      <alignment wrapText="1"/>
    </xf>
    <xf numFmtId="0" fontId="3" fillId="12" borderId="0" xfId="1" applyFont="1" applyFill="1" applyAlignment="1">
      <alignment wrapText="1"/>
    </xf>
    <xf numFmtId="0" fontId="6" fillId="6" borderId="0" xfId="1" applyFont="1" applyFill="1" applyAlignment="1">
      <alignment wrapText="1"/>
    </xf>
    <xf numFmtId="0" fontId="5" fillId="9" borderId="0" xfId="1" applyFont="1" applyFill="1" applyAlignment="1">
      <alignment horizontal="left" vertical="center" wrapText="1"/>
    </xf>
    <xf numFmtId="180" fontId="10" fillId="10" borderId="0" xfId="1" applyNumberFormat="1" applyFont="1" applyFill="1" applyAlignment="1">
      <alignment horizontal="right" vertical="center" wrapText="1"/>
    </xf>
    <xf numFmtId="0" fontId="10" fillId="10" borderId="0" xfId="1" applyFont="1" applyFill="1" applyAlignment="1">
      <alignment horizontal="left" vertical="center" wrapText="1"/>
    </xf>
    <xf numFmtId="177" fontId="10" fillId="10" borderId="0" xfId="1" applyNumberFormat="1" applyFont="1" applyFill="1" applyAlignment="1">
      <alignment horizontal="right" vertical="center" wrapText="1"/>
    </xf>
    <xf numFmtId="0" fontId="4" fillId="13" borderId="0" xfId="1" applyFont="1" applyFill="1" applyAlignment="1">
      <alignment horizontal="center" vertical="center"/>
    </xf>
    <xf numFmtId="180" fontId="11" fillId="12" borderId="0" xfId="1" applyNumberFormat="1" applyFont="1" applyFill="1" applyAlignment="1">
      <alignment horizontal="center" vertical="center"/>
    </xf>
    <xf numFmtId="0" fontId="10" fillId="10" borderId="0" xfId="1" applyFont="1" applyFill="1" applyAlignment="1">
      <alignment horizontal="center" wrapText="1"/>
    </xf>
    <xf numFmtId="179" fontId="11" fillId="5" borderId="0" xfId="1" applyNumberFormat="1" applyFont="1" applyFill="1" applyAlignment="1">
      <alignment horizontal="center" vertical="center"/>
    </xf>
    <xf numFmtId="49" fontId="3" fillId="16" borderId="0" xfId="1" applyNumberFormat="1" applyFont="1" applyFill="1" applyAlignment="1">
      <alignment horizontal="left" vertical="center" wrapText="1"/>
    </xf>
    <xf numFmtId="0" fontId="10" fillId="10" borderId="0" xfId="1" applyFont="1" applyFill="1" applyAlignment="1">
      <alignment wrapText="1"/>
    </xf>
    <xf numFmtId="0" fontId="4" fillId="2" borderId="0" xfId="1" applyFont="1" applyFill="1"/>
    <xf numFmtId="0" fontId="5" fillId="4" borderId="0" xfId="1" applyFont="1" applyFill="1" applyAlignment="1">
      <alignment vertical="center" wrapText="1"/>
    </xf>
    <xf numFmtId="0" fontId="3" fillId="10" borderId="0" xfId="1" applyFont="1" applyFill="1" applyAlignment="1">
      <alignment wrapText="1"/>
    </xf>
    <xf numFmtId="0" fontId="5" fillId="10" borderId="0" xfId="1" applyFont="1" applyFill="1" applyAlignment="1">
      <alignment wrapText="1"/>
    </xf>
  </cellXfs>
  <cellStyles count="2">
    <cellStyle name="Normal" xfId="1" xr:uid="{00000000-0005-0000-0000-000000000000}"/>
    <cellStyle name="常规" xfId="0" builtinId="0"/>
  </cellStyles>
  <dxfs count="2">
    <dxf>
      <fill>
        <patternFill>
          <bgColor rgb="FFF8CBAD"/>
        </patternFill>
      </fill>
    </dxf>
    <dxf>
      <fill>
        <patternFill>
          <bgColor rgb="FFC6E0B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title>
      <c:tx>
        <c:rich>
          <a:bodyPr/>
          <a:lstStyle/>
          <a:p>
            <a:r>
              <a:t>目标月成本覆盖结构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月金额</c:v>
          </c:tx>
          <c:cat>
            <c:strRef>
              <c:f>结果仪表盘!$E$13:$E$15</c:f>
              <c:strCache>
                <c:ptCount val="3"/>
                <c:pt idx="0">
                  <c:v>可持续月收入</c:v>
                </c:pt>
                <c:pt idx="1">
                  <c:v>投资可提取收入</c:v>
                </c:pt>
                <c:pt idx="2">
                  <c:v>月缺口</c:v>
                </c:pt>
              </c:strCache>
            </c:strRef>
          </c:cat>
          <c:val>
            <c:numRef>
              <c:f>结果仪表盘!$F$13:$F$15</c:f>
              <c:numCache>
                <c:formatCode>#,##0</c:formatCode>
                <c:ptCount val="3"/>
                <c:pt idx="0">
                  <c:v>3000</c:v>
                </c:pt>
                <c:pt idx="1">
                  <c:v>1000</c:v>
                </c:pt>
                <c:pt idx="2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3-4C6B-AAD5-260CB33C4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金额</c:v>
          </c:tx>
          <c:invertIfNegative val="1"/>
          <c:cat>
            <c:strRef>
              <c:f>结果仪表盘!$A$7:$A$15</c:f>
              <c:strCache>
                <c:ptCount val="9"/>
                <c:pt idx="0">
                  <c:v>当前投资性资产</c:v>
                </c:pt>
                <c:pt idx="1">
                  <c:v>债务合计</c:v>
                </c:pt>
                <c:pt idx="2">
                  <c:v>扣除非房贷债务后投资资产</c:v>
                </c:pt>
                <c:pt idx="3">
                  <c:v>当前金融净资产</c:v>
                </c:pt>
                <c:pt idx="4">
                  <c:v>当前可持续月收入</c:v>
                </c:pt>
                <c:pt idx="5">
                  <c:v>当前月投资可提取收入</c:v>
                </c:pt>
                <c:pt idx="6">
                  <c:v>当前自由覆盖率</c:v>
                </c:pt>
                <c:pt idx="7">
                  <c:v>目标投资资产</c:v>
                </c:pt>
                <c:pt idx="8">
                  <c:v>距离目标还差</c:v>
                </c:pt>
              </c:strCache>
            </c:strRef>
          </c:cat>
          <c:val>
            <c:numRef>
              <c:f>结果仪表盘!$B$7:$B$15</c:f>
              <c:numCache>
                <c:formatCode>#,##0;[Red]\(#,##0\);\-</c:formatCode>
                <c:ptCount val="9"/>
                <c:pt idx="0">
                  <c:v>300000</c:v>
                </c:pt>
                <c:pt idx="1">
                  <c:v>0</c:v>
                </c:pt>
                <c:pt idx="2">
                  <c:v>300000</c:v>
                </c:pt>
                <c:pt idx="3">
                  <c:v>360000</c:v>
                </c:pt>
                <c:pt idx="4">
                  <c:v>3000</c:v>
                </c:pt>
                <c:pt idx="5">
                  <c:v>1000</c:v>
                </c:pt>
                <c:pt idx="6" formatCode="0.0%">
                  <c:v>0.33333333333333331</c:v>
                </c:pt>
                <c:pt idx="7">
                  <c:v>3105000</c:v>
                </c:pt>
                <c:pt idx="8">
                  <c:v>2805000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CB-4085-9D44-88A1C7B69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;[Red]\(#,##0\);\-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自由覆盖率</c:v>
          </c:tx>
          <c:cat>
            <c:numRef>
              <c:f>年度路径!$A$5:$A$65</c:f>
              <c:numCache>
                <c:formatCode>0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年度路径!$J$5:$J$65</c:f>
              <c:numCache>
                <c:formatCode>0.0%</c:formatCode>
                <c:ptCount val="61"/>
                <c:pt idx="0">
                  <c:v>0.33333333333333331</c:v>
                </c:pt>
                <c:pt idx="1">
                  <c:v>0.38023333333333337</c:v>
                </c:pt>
                <c:pt idx="2">
                  <c:v>0.43051033333333333</c:v>
                </c:pt>
                <c:pt idx="3">
                  <c:v>0.48441574333333337</c:v>
                </c:pt>
                <c:pt idx="4">
                  <c:v>0.54222014863333334</c:v>
                </c:pt>
                <c:pt idx="5">
                  <c:v>0.60421479698233338</c:v>
                </c:pt>
                <c:pt idx="6">
                  <c:v>0.67071320235550325</c:v>
                </c:pt>
                <c:pt idx="7">
                  <c:v>0.7420528745725895</c:v>
                </c:pt>
                <c:pt idx="8">
                  <c:v>1.0914629129357443</c:v>
                </c:pt>
                <c:pt idx="9">
                  <c:v>1.2009831693104907</c:v>
                </c:pt>
                <c:pt idx="10">
                  <c:v>1.3185263184733227</c:v>
                </c:pt>
                <c:pt idx="11">
                  <c:v>1.4446972554611919</c:v>
                </c:pt>
                <c:pt idx="12">
                  <c:v>1.5801474200947019</c:v>
                </c:pt>
                <c:pt idx="13">
                  <c:v>1.7255784282198345</c:v>
                </c:pt>
                <c:pt idx="14">
                  <c:v>1.8817459888319665</c:v>
                </c:pt>
                <c:pt idx="15">
                  <c:v>2.0494641297219083</c:v>
                </c:pt>
                <c:pt idx="16">
                  <c:v>2.2296097560833248</c:v>
                </c:pt>
                <c:pt idx="17">
                  <c:v>2.4231275684639493</c:v>
                </c:pt>
                <c:pt idx="18">
                  <c:v>2.6310353685408328</c:v>
                </c:pt>
                <c:pt idx="19">
                  <c:v>2.8544297834649663</c:v>
                </c:pt>
                <c:pt idx="20">
                  <c:v>3.0944924419661857</c:v>
                </c:pt>
                <c:pt idx="21">
                  <c:v>3.3524966380498133</c:v>
                </c:pt>
                <c:pt idx="22">
                  <c:v>3.629814520967559</c:v>
                </c:pt>
                <c:pt idx="23">
                  <c:v>3.9279248532235247</c:v>
                </c:pt>
                <c:pt idx="24">
                  <c:v>4.2484213817000063</c:v>
                </c:pt>
                <c:pt idx="25">
                  <c:v>4.5930218705766475</c:v>
                </c:pt>
                <c:pt idx="26">
                  <c:v>4.963577848591564</c:v>
                </c:pt>
                <c:pt idx="27">
                  <c:v>5.362085127377223</c:v>
                </c:pt>
                <c:pt idx="28">
                  <c:v>5.7906951521217627</c:v>
                </c:pt>
                <c:pt idx="29">
                  <c:v>6.251727250684695</c:v>
                </c:pt>
                <c:pt idx="30">
                  <c:v>6.7476818525634323</c:v>
                </c:pt>
                <c:pt idx="31">
                  <c:v>7.2812547547947775</c:v>
                </c:pt>
                <c:pt idx="32">
                  <c:v>7.8553525180170558</c:v>
                </c:pt>
                <c:pt idx="33">
                  <c:v>8.4731090825501632</c:v>
                </c:pt>
                <c:pt idx="34">
                  <c:v>9.1379037015116165</c:v>
                </c:pt>
                <c:pt idx="35">
                  <c:v>9.8533802957189689</c:v>
                </c:pt>
                <c:pt idx="36">
                  <c:v>10.62346834347834</c:v>
                </c:pt>
                <c:pt idx="37">
                  <c:v>11.452405427374666</c:v>
                </c:pt>
                <c:pt idx="38">
                  <c:v>12.344761569914713</c:v>
                </c:pt>
                <c:pt idx="39">
                  <c:v>13.30546550038658</c:v>
                </c:pt>
                <c:pt idx="40">
                  <c:v>14.339833006651238</c:v>
                </c:pt>
                <c:pt idx="41">
                  <c:v>15.453597537839869</c:v>
                </c:pt>
                <c:pt idx="42">
                  <c:v>16.652943237167527</c:v>
                </c:pt>
                <c:pt idx="43">
                  <c:v>17.944540598367535</c:v>
                </c:pt>
                <c:pt idx="44">
                  <c:v>19.335584954685984</c:v>
                </c:pt>
                <c:pt idx="45">
                  <c:v>20.833838026043466</c:v>
                </c:pt>
                <c:pt idx="46">
                  <c:v>22.447672767969795</c:v>
                </c:pt>
                <c:pt idx="47">
                  <c:v>24.186121785353482</c:v>
                </c:pt>
                <c:pt idx="48">
                  <c:v>26.058929595036279</c:v>
                </c:pt>
                <c:pt idx="49">
                  <c:v>28.076609043947538</c:v>
                </c:pt>
                <c:pt idx="50">
                  <c:v>30.250502213948224</c:v>
                </c:pt>
                <c:pt idx="51">
                  <c:v>32.592846170984323</c:v>
                </c:pt>
                <c:pt idx="52">
                  <c:v>35.11684394469043</c:v>
                </c:pt>
                <c:pt idx="53">
                  <c:v>37.836741155405512</c:v>
                </c:pt>
                <c:pt idx="54">
                  <c:v>40.767908738845897</c:v>
                </c:pt>
                <c:pt idx="55">
                  <c:v>43.926932254623026</c:v>
                </c:pt>
                <c:pt idx="56">
                  <c:v>47.331708303606909</c:v>
                </c:pt>
                <c:pt idx="57">
                  <c:v>51.001548621051313</c:v>
                </c:pt>
                <c:pt idx="58">
                  <c:v>54.957292457660174</c:v>
                </c:pt>
                <c:pt idx="59">
                  <c:v>59.221427909655098</c:v>
                </c:pt>
                <c:pt idx="60">
                  <c:v>63.818222911689816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08-4482-9EEA-610FD4EA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.0%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年末可用于测算的投资资产</c:v>
          </c:tx>
          <c:cat>
            <c:numRef>
              <c:f>年度路径!$A$5:$A$65</c:f>
              <c:numCache>
                <c:formatCode>0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年度路径!$F$5:$F$65</c:f>
              <c:numCache>
                <c:formatCode>#,##0;[Red]\(#,##0\);\-</c:formatCode>
                <c:ptCount val="61"/>
                <c:pt idx="0">
                  <c:v>300000</c:v>
                </c:pt>
                <c:pt idx="1">
                  <c:v>423840</c:v>
                </c:pt>
                <c:pt idx="2">
                  <c:v>557587.19999999995</c:v>
                </c:pt>
                <c:pt idx="3">
                  <c:v>702034.17599999998</c:v>
                </c:pt>
                <c:pt idx="4">
                  <c:v>858036.91007999994</c:v>
                </c:pt>
                <c:pt idx="5">
                  <c:v>1026519.8628864</c:v>
                </c:pt>
                <c:pt idx="6">
                  <c:v>1208481.4519173119</c:v>
                </c:pt>
                <c:pt idx="7">
                  <c:v>1404999.9680706968</c:v>
                </c:pt>
                <c:pt idx="8">
                  <c:v>1617239.9655163526</c:v>
                </c:pt>
                <c:pt idx="9">
                  <c:v>1846459.1627576607</c:v>
                </c:pt>
                <c:pt idx="10">
                  <c:v>2094015.8957782737</c:v>
                </c:pt>
                <c:pt idx="11">
                  <c:v>2361377.1674405355</c:v>
                </c:pt>
                <c:pt idx="12">
                  <c:v>2650127.3408357785</c:v>
                </c:pt>
                <c:pt idx="13">
                  <c:v>2961977.528102641</c:v>
                </c:pt>
                <c:pt idx="14">
                  <c:v>3298775.7303508525</c:v>
                </c:pt>
                <c:pt idx="15">
                  <c:v>3662517.7887789207</c:v>
                </c:pt>
                <c:pt idx="16">
                  <c:v>4055359.2118812343</c:v>
                </c:pt>
                <c:pt idx="17">
                  <c:v>4479627.9488317333</c:v>
                </c:pt>
                <c:pt idx="18">
                  <c:v>4937838.1847382719</c:v>
                </c:pt>
                <c:pt idx="19">
                  <c:v>5432705.2395173339</c:v>
                </c:pt>
                <c:pt idx="20">
                  <c:v>5967161.6586787207</c:v>
                </c:pt>
                <c:pt idx="21">
                  <c:v>6544374.591373018</c:v>
                </c:pt>
                <c:pt idx="22">
                  <c:v>7167764.5586828589</c:v>
                </c:pt>
                <c:pt idx="23">
                  <c:v>7841025.7233774876</c:v>
                </c:pt>
                <c:pt idx="24">
                  <c:v>8568147.7812476866</c:v>
                </c:pt>
                <c:pt idx="25">
                  <c:v>9353439.603747502</c:v>
                </c:pt>
                <c:pt idx="26">
                  <c:v>10201554.772047302</c:v>
                </c:pt>
                <c:pt idx="27">
                  <c:v>11117519.153811086</c:v>
                </c:pt>
                <c:pt idx="28">
                  <c:v>12106760.686115973</c:v>
                </c:pt>
                <c:pt idx="29">
                  <c:v>13175141.54100525</c:v>
                </c:pt>
                <c:pt idx="30">
                  <c:v>14328992.86428567</c:v>
                </c:pt>
                <c:pt idx="31">
                  <c:v>15575152.293428523</c:v>
                </c:pt>
                <c:pt idx="32">
                  <c:v>16921004.476902805</c:v>
                </c:pt>
                <c:pt idx="33">
                  <c:v>18374524.835055031</c:v>
                </c:pt>
                <c:pt idx="34">
                  <c:v>19944326.821859434</c:v>
                </c:pt>
                <c:pt idx="35">
                  <c:v>21639712.967608187</c:v>
                </c:pt>
                <c:pt idx="36">
                  <c:v>23470730.005016841</c:v>
                </c:pt>
                <c:pt idx="37">
                  <c:v>25448228.405418187</c:v>
                </c:pt>
                <c:pt idx="38">
                  <c:v>27583926.677851643</c:v>
                </c:pt>
                <c:pt idx="39">
                  <c:v>29890480.812079776</c:v>
                </c:pt>
                <c:pt idx="40">
                  <c:v>32381559.277046159</c:v>
                </c:pt>
                <c:pt idx="41">
                  <c:v>35071924.019209854</c:v>
                </c:pt>
                <c:pt idx="42">
                  <c:v>37977517.940746643</c:v>
                </c:pt>
                <c:pt idx="43">
                  <c:v>41115559.376006372</c:v>
                </c:pt>
                <c:pt idx="44">
                  <c:v>44504644.126086883</c:v>
                </c:pt>
                <c:pt idx="45">
                  <c:v>48164855.656173833</c:v>
                </c:pt>
                <c:pt idx="46">
                  <c:v>52117884.108667739</c:v>
                </c:pt>
                <c:pt idx="47">
                  <c:v>56387154.837361157</c:v>
                </c:pt>
                <c:pt idx="48">
                  <c:v>60997967.22435005</c:v>
                </c:pt>
                <c:pt idx="49">
                  <c:v>65977644.602298051</c:v>
                </c:pt>
                <c:pt idx="50">
                  <c:v>71355696.17048189</c:v>
                </c:pt>
                <c:pt idx="51">
                  <c:v>77163991.864120439</c:v>
                </c:pt>
                <c:pt idx="52">
                  <c:v>83436951.213250071</c:v>
                </c:pt>
                <c:pt idx="53">
                  <c:v>90211747.310310081</c:v>
                </c:pt>
                <c:pt idx="54">
                  <c:v>97528527.095134884</c:v>
                </c:pt>
                <c:pt idx="55">
                  <c:v>105430649.26274568</c:v>
                </c:pt>
                <c:pt idx="56">
                  <c:v>113964941.20376533</c:v>
                </c:pt>
                <c:pt idx="57">
                  <c:v>123181976.50006656</c:v>
                </c:pt>
                <c:pt idx="58">
                  <c:v>133136374.62007189</c:v>
                </c:pt>
                <c:pt idx="59">
                  <c:v>143887124.58967763</c:v>
                </c:pt>
                <c:pt idx="60">
                  <c:v>155497934.55685183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5F-4CF1-9669-02B69DAA584B}"/>
            </c:ext>
          </c:extLst>
        </c:ser>
        <c:ser>
          <c:idx val="1"/>
          <c:order val="1"/>
          <c:tx>
            <c:v>目标资产</c:v>
          </c:tx>
          <c:cat>
            <c:numRef>
              <c:f>年度路径!$A$5:$A$65</c:f>
              <c:numCache>
                <c:formatCode>0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年度路径!$K$5:$K$65</c:f>
              <c:numCache>
                <c:formatCode>#,##0;[Red]\(#,##0\);\-</c:formatCode>
                <c:ptCount val="61"/>
                <c:pt idx="0">
                  <c:v>3105000</c:v>
                </c:pt>
                <c:pt idx="1">
                  <c:v>3053250</c:v>
                </c:pt>
                <c:pt idx="2">
                  <c:v>2998913</c:v>
                </c:pt>
                <c:pt idx="3">
                  <c:v>2941858</c:v>
                </c:pt>
                <c:pt idx="4">
                  <c:v>2881951</c:v>
                </c:pt>
                <c:pt idx="5">
                  <c:v>2819049</c:v>
                </c:pt>
                <c:pt idx="6">
                  <c:v>2753001</c:v>
                </c:pt>
                <c:pt idx="7">
                  <c:v>2683651</c:v>
                </c:pt>
                <c:pt idx="8">
                  <c:v>1575834</c:v>
                </c:pt>
                <c:pt idx="9">
                  <c:v>1499375</c:v>
                </c:pt>
                <c:pt idx="10">
                  <c:v>1419094</c:v>
                </c:pt>
                <c:pt idx="11">
                  <c:v>1334799</c:v>
                </c:pt>
                <c:pt idx="12">
                  <c:v>1246289</c:v>
                </c:pt>
                <c:pt idx="13">
                  <c:v>1153353</c:v>
                </c:pt>
                <c:pt idx="14">
                  <c:v>1055771</c:v>
                </c:pt>
                <c:pt idx="15">
                  <c:v>953309</c:v>
                </c:pt>
                <c:pt idx="16">
                  <c:v>845725</c:v>
                </c:pt>
                <c:pt idx="17">
                  <c:v>732761</c:v>
                </c:pt>
                <c:pt idx="18">
                  <c:v>614149</c:v>
                </c:pt>
                <c:pt idx="19">
                  <c:v>489607</c:v>
                </c:pt>
                <c:pt idx="20">
                  <c:v>358837</c:v>
                </c:pt>
                <c:pt idx="21">
                  <c:v>221529</c:v>
                </c:pt>
                <c:pt idx="22">
                  <c:v>77355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5F-4CF1-9669-02B69DAA5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;[Red]\(#,##0\);\-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预计达成年限</c:v>
          </c:tx>
          <c:invertIfNegative val="1"/>
          <c:cat>
            <c:strRef>
              <c:f>情景对比!$A$5:$A$9</c:f>
              <c:strCache>
                <c:ptCount val="5"/>
                <c:pt idx="0">
                  <c:v>保守情景</c:v>
                </c:pt>
                <c:pt idx="1">
                  <c:v>基准情景</c:v>
                </c:pt>
                <c:pt idx="2">
                  <c:v>积极情景</c:v>
                </c:pt>
                <c:pt idx="3">
                  <c:v>低成本生活</c:v>
                </c:pt>
                <c:pt idx="4">
                  <c:v>副业加速</c:v>
                </c:pt>
              </c:strCache>
            </c:strRef>
          </c:cat>
          <c:val>
            <c:numRef>
              <c:f>情景对比!$J$5:$J$9</c:f>
              <c:numCache>
                <c:formatCode>0.0</c:formatCode>
                <c:ptCount val="5"/>
                <c:pt idx="0">
                  <c:v>21.093071129763853</c:v>
                </c:pt>
                <c:pt idx="1">
                  <c:v>13.459081576751684</c:v>
                </c:pt>
                <c:pt idx="2">
                  <c:v>9.354309139583096</c:v>
                </c:pt>
                <c:pt idx="3">
                  <c:v>11.074755452650153</c:v>
                </c:pt>
                <c:pt idx="4">
                  <c:v>9.9269837739691305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52-4E62-A30B-7125DFE69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.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目标投资资产</c:v>
          </c:tx>
          <c:invertIfNegative val="1"/>
          <c:cat>
            <c:strRef>
              <c:f>情景对比!$A$5:$A$9</c:f>
              <c:strCache>
                <c:ptCount val="5"/>
                <c:pt idx="0">
                  <c:v>保守情景</c:v>
                </c:pt>
                <c:pt idx="1">
                  <c:v>基准情景</c:v>
                </c:pt>
                <c:pt idx="2">
                  <c:v>积极情景</c:v>
                </c:pt>
                <c:pt idx="3">
                  <c:v>低成本生活</c:v>
                </c:pt>
                <c:pt idx="4">
                  <c:v>副业加速</c:v>
                </c:pt>
              </c:strCache>
            </c:strRef>
          </c:cat>
          <c:val>
            <c:numRef>
              <c:f>情景对比!$H$5:$H$9</c:f>
              <c:numCache>
                <c:formatCode>#,##0</c:formatCode>
                <c:ptCount val="5"/>
                <c:pt idx="0">
                  <c:v>4371429</c:v>
                </c:pt>
                <c:pt idx="1">
                  <c:v>3105000</c:v>
                </c:pt>
                <c:pt idx="2">
                  <c:v>2464000</c:v>
                </c:pt>
                <c:pt idx="3">
                  <c:v>2376000</c:v>
                </c:pt>
                <c:pt idx="4">
                  <c:v>2070000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EC-4992-8C12-FEA8059AF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得分</c:v>
          </c:tx>
          <c:invertIfNegative val="1"/>
          <c:cat>
            <c:strRef>
              <c:f>慢富评分!$A$5:$A$10</c:f>
              <c:strCache>
                <c:ptCount val="6"/>
                <c:pt idx="0">
                  <c:v>应急金安全垫</c:v>
                </c:pt>
                <c:pt idx="1">
                  <c:v>储蓄率</c:v>
                </c:pt>
                <c:pt idx="2">
                  <c:v>自由覆盖率</c:v>
                </c:pt>
                <c:pt idx="3">
                  <c:v>收入多元化</c:v>
                </c:pt>
                <c:pt idx="4">
                  <c:v>债务风险</c:v>
                </c:pt>
                <c:pt idx="5">
                  <c:v>节奏与健康</c:v>
                </c:pt>
              </c:strCache>
            </c:strRef>
          </c:cat>
          <c:val>
            <c:numRef>
              <c:f>慢富评分!$D$5:$D$10</c:f>
              <c:numCache>
                <c:formatCode>0.0</c:formatCode>
                <c:ptCount val="6"/>
                <c:pt idx="0">
                  <c:v>16.666666666666668</c:v>
                </c:pt>
                <c:pt idx="1">
                  <c:v>20</c:v>
                </c:pt>
                <c:pt idx="2">
                  <c:v>6.6666666666666661</c:v>
                </c:pt>
                <c:pt idx="3">
                  <c:v>5.3571428571428577</c:v>
                </c:pt>
                <c:pt idx="4">
                  <c:v>15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34-49AA-B009-72CB16799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.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17</xdr:row>
      <xdr:rowOff>0</xdr:rowOff>
    </xdr:from>
    <xdr:to>
      <xdr:col>10</xdr:col>
      <xdr:colOff>0</xdr:colOff>
      <xdr:row>34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0</xdr:rowOff>
    </xdr:from>
    <xdr:to>
      <xdr:col>4</xdr:col>
      <xdr:colOff>0</xdr:colOff>
      <xdr:row>38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</xdr:row>
      <xdr:rowOff>0</xdr:rowOff>
    </xdr:from>
    <xdr:to>
      <xdr:col>22</xdr:col>
      <xdr:colOff>0</xdr:colOff>
      <xdr:row>20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21</xdr:row>
      <xdr:rowOff>0</xdr:rowOff>
    </xdr:from>
    <xdr:to>
      <xdr:col>22</xdr:col>
      <xdr:colOff>0</xdr:colOff>
      <xdr:row>38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6</xdr:col>
      <xdr:colOff>0</xdr:colOff>
      <xdr:row>27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11</xdr:col>
      <xdr:colOff>0</xdr:colOff>
      <xdr:row>27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13</xdr:col>
      <xdr:colOff>0</xdr:colOff>
      <xdr:row>20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0"/>
  <sheetViews>
    <sheetView tabSelected="1" workbookViewId="0">
      <selection activeCell="K6" sqref="K6"/>
    </sheetView>
  </sheetViews>
  <sheetFormatPr defaultRowHeight="14.25"/>
  <cols>
    <col min="1" max="1" width="18" customWidth="1"/>
    <col min="2" max="2" width="70" customWidth="1"/>
    <col min="3" max="8" width="8" customWidth="1"/>
  </cols>
  <sheetData>
    <row r="1" spans="1:26" ht="32.1" customHeight="1">
      <c r="A1" s="64" t="s">
        <v>0</v>
      </c>
      <c r="B1" s="65"/>
      <c r="C1" s="65"/>
      <c r="D1" s="65"/>
      <c r="E1" s="65"/>
      <c r="F1" s="65"/>
      <c r="G1" s="65"/>
      <c r="H1" s="6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8" customHeight="1">
      <c r="A3" s="66" t="s">
        <v>1</v>
      </c>
      <c r="B3" s="65"/>
      <c r="C3" s="65"/>
      <c r="D3" s="65"/>
      <c r="E3" s="65"/>
      <c r="F3" s="65"/>
      <c r="G3" s="65"/>
      <c r="H3" s="65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" customHeight="1">
      <c r="A5" s="2" t="s">
        <v>2</v>
      </c>
      <c r="B5" s="2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3" t="s">
        <v>4</v>
      </c>
      <c r="B6" s="4" t="s">
        <v>5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3" t="s">
        <v>6</v>
      </c>
      <c r="B7" s="4" t="s">
        <v>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3" t="s">
        <v>8</v>
      </c>
      <c r="B8" s="4" t="s">
        <v>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>
      <c r="A9" s="3" t="s">
        <v>10</v>
      </c>
      <c r="B9" s="4" t="s">
        <v>11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>
      <c r="A10" s="3" t="s">
        <v>12</v>
      </c>
      <c r="B10" s="4" t="s">
        <v>13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95" customHeight="1">
      <c r="A12" s="67" t="s">
        <v>14</v>
      </c>
      <c r="B12" s="65"/>
      <c r="C12" s="65"/>
      <c r="D12" s="65"/>
      <c r="E12" s="65"/>
      <c r="F12" s="65"/>
      <c r="G12" s="65"/>
      <c r="H12" s="6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" customHeight="1">
      <c r="A14" s="38" t="s">
        <v>15</v>
      </c>
      <c r="B14" s="38" t="s">
        <v>16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>
      <c r="A15" s="40" t="s">
        <v>17</v>
      </c>
      <c r="B15" s="24" t="s">
        <v>18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40" t="s">
        <v>19</v>
      </c>
      <c r="B16" s="24" t="s">
        <v>20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>
      <c r="A17" s="40" t="s">
        <v>21</v>
      </c>
      <c r="B17" s="24" t="s">
        <v>22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40" t="s">
        <v>23</v>
      </c>
      <c r="B18" s="24" t="s">
        <v>24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>
      <c r="A19" s="40" t="s">
        <v>25</v>
      </c>
      <c r="B19" s="24" t="s">
        <v>26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5.1" customHeight="1">
      <c r="A20" s="68" t="s">
        <v>27</v>
      </c>
      <c r="B20" s="65"/>
      <c r="C20" s="65"/>
      <c r="D20" s="65"/>
      <c r="E20" s="65"/>
      <c r="F20" s="65"/>
      <c r="G20" s="65"/>
      <c r="H20" s="6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4">
    <mergeCell ref="A1:H1"/>
    <mergeCell ref="A3:H3"/>
    <mergeCell ref="A12:H12"/>
    <mergeCell ref="A20:H20"/>
  </mergeCells>
  <phoneticPr fontId="1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00"/>
  <sheetViews>
    <sheetView workbookViewId="0"/>
  </sheetViews>
  <sheetFormatPr defaultRowHeight="14.25"/>
  <cols>
    <col min="1" max="1" width="28" customWidth="1"/>
    <col min="2" max="2" width="18" customWidth="1"/>
    <col min="3" max="3" width="4" customWidth="1"/>
    <col min="4" max="4" width="24" customWidth="1"/>
    <col min="5" max="5" width="18" customWidth="1"/>
    <col min="6" max="6" width="4" customWidth="1"/>
    <col min="7" max="7" width="24" customWidth="1"/>
    <col min="8" max="8" width="18" customWidth="1"/>
  </cols>
  <sheetData>
    <row r="1" spans="1:26" ht="32.1" customHeight="1">
      <c r="A1" s="64" t="s">
        <v>28</v>
      </c>
      <c r="B1" s="65"/>
      <c r="C1" s="65"/>
      <c r="D1" s="65"/>
      <c r="E1" s="65"/>
      <c r="F1" s="65"/>
      <c r="G1" s="65"/>
      <c r="H1" s="6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.950000000000003" customHeight="1">
      <c r="A2" s="66" t="s">
        <v>29</v>
      </c>
      <c r="B2" s="65"/>
      <c r="C2" s="65"/>
      <c r="D2" s="65"/>
      <c r="E2" s="65"/>
      <c r="F2" s="65"/>
      <c r="G2" s="65"/>
      <c r="H2" s="6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.95" customHeight="1">
      <c r="A4" s="5" t="s">
        <v>30</v>
      </c>
      <c r="B4" s="5" t="s">
        <v>31</v>
      </c>
      <c r="C4" s="1"/>
      <c r="D4" s="5" t="s">
        <v>32</v>
      </c>
      <c r="E4" s="5" t="s">
        <v>33</v>
      </c>
      <c r="F4" s="1"/>
      <c r="G4" s="5" t="s">
        <v>34</v>
      </c>
      <c r="H4" s="5" t="s">
        <v>35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17" t="s">
        <v>36</v>
      </c>
      <c r="B5" s="21">
        <v>39</v>
      </c>
      <c r="C5" s="1"/>
      <c r="D5" s="17" t="s">
        <v>37</v>
      </c>
      <c r="E5" s="19">
        <v>0</v>
      </c>
      <c r="F5" s="1"/>
      <c r="G5" s="6" t="s">
        <v>38</v>
      </c>
      <c r="H5" s="14">
        <v>60000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17" t="s">
        <v>39</v>
      </c>
      <c r="B6" s="19">
        <v>25000</v>
      </c>
      <c r="C6" s="1"/>
      <c r="D6" s="17" t="s">
        <v>40</v>
      </c>
      <c r="E6" s="19">
        <v>3000</v>
      </c>
      <c r="F6" s="1"/>
      <c r="G6" s="6" t="s">
        <v>41</v>
      </c>
      <c r="H6" s="14">
        <v>250000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17" t="s">
        <v>42</v>
      </c>
      <c r="B7" s="19">
        <v>8000</v>
      </c>
      <c r="C7" s="1"/>
      <c r="D7" s="17" t="s">
        <v>43</v>
      </c>
      <c r="E7" s="19">
        <v>3000</v>
      </c>
      <c r="F7" s="1"/>
      <c r="G7" s="6" t="s">
        <v>44</v>
      </c>
      <c r="H7" s="14">
        <v>50000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17" t="s">
        <v>45</v>
      </c>
      <c r="B8" s="19">
        <v>3000</v>
      </c>
      <c r="C8" s="1"/>
      <c r="D8" s="17" t="s">
        <v>46</v>
      </c>
      <c r="E8" s="19">
        <v>600</v>
      </c>
      <c r="F8" s="1"/>
      <c r="G8" s="6" t="s">
        <v>47</v>
      </c>
      <c r="H8" s="14"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>
      <c r="A9" s="17" t="s">
        <v>48</v>
      </c>
      <c r="B9" s="19">
        <v>0</v>
      </c>
      <c r="C9" s="1"/>
      <c r="D9" s="17" t="s">
        <v>49</v>
      </c>
      <c r="E9" s="19">
        <v>800</v>
      </c>
      <c r="F9" s="1"/>
      <c r="G9" s="6" t="s">
        <v>50</v>
      </c>
      <c r="H9" s="14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17" t="s">
        <v>51</v>
      </c>
      <c r="B10" s="19">
        <v>0</v>
      </c>
      <c r="C10" s="1"/>
      <c r="D10" s="17" t="s">
        <v>52</v>
      </c>
      <c r="E10" s="19">
        <v>800</v>
      </c>
      <c r="F10" s="1"/>
      <c r="G10" s="7" t="s">
        <v>53</v>
      </c>
      <c r="H10" s="15">
        <f>SUM(H6:H9)</f>
        <v>300000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17" t="s">
        <v>54</v>
      </c>
      <c r="B11" s="20">
        <v>0.08</v>
      </c>
      <c r="C11" s="1"/>
      <c r="D11" s="17" t="s">
        <v>55</v>
      </c>
      <c r="E11" s="19">
        <v>2000</v>
      </c>
      <c r="F11" s="1"/>
      <c r="G11" s="7" t="s">
        <v>56</v>
      </c>
      <c r="H11" s="15">
        <f>SUM(H5:H9)</f>
        <v>360000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>
      <c r="A12" s="17" t="s">
        <v>57</v>
      </c>
      <c r="B12" s="20">
        <v>0.04</v>
      </c>
      <c r="C12" s="1"/>
      <c r="D12" s="17" t="s">
        <v>58</v>
      </c>
      <c r="E12" s="19">
        <v>1000</v>
      </c>
      <c r="F12" s="1"/>
      <c r="G12" s="1"/>
      <c r="H12" s="1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.95" customHeight="1">
      <c r="A13" s="17" t="s">
        <v>59</v>
      </c>
      <c r="B13" s="20">
        <v>1.1499999999999999</v>
      </c>
      <c r="C13" s="1"/>
      <c r="D13" s="23" t="s">
        <v>60</v>
      </c>
      <c r="E13" s="25">
        <v>800</v>
      </c>
      <c r="F13" s="1"/>
      <c r="G13" s="33" t="s">
        <v>61</v>
      </c>
      <c r="H13" s="34" t="s">
        <v>62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17" t="s">
        <v>63</v>
      </c>
      <c r="B14" s="21">
        <v>6</v>
      </c>
      <c r="C14" s="1"/>
      <c r="D14" s="26" t="s">
        <v>64</v>
      </c>
      <c r="E14" s="27">
        <f>SUM(E5:E13)</f>
        <v>12000</v>
      </c>
      <c r="F14" s="1"/>
      <c r="G14" s="17" t="s">
        <v>65</v>
      </c>
      <c r="H14" s="19"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.95" customHeight="1">
      <c r="A15" s="17" t="s">
        <v>66</v>
      </c>
      <c r="B15" s="18" t="s">
        <v>32</v>
      </c>
      <c r="C15" s="1"/>
      <c r="D15" s="55"/>
      <c r="E15" s="55"/>
      <c r="F15" s="1"/>
      <c r="G15" s="17" t="s">
        <v>67</v>
      </c>
      <c r="H15" s="36">
        <v>8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17" t="s">
        <v>68</v>
      </c>
      <c r="B16" s="20">
        <v>0.05</v>
      </c>
      <c r="C16" s="1"/>
      <c r="D16" s="28" t="s">
        <v>69</v>
      </c>
      <c r="E16" s="29" t="s">
        <v>33</v>
      </c>
      <c r="F16" s="1"/>
      <c r="G16" s="17" t="s">
        <v>70</v>
      </c>
      <c r="H16" s="19">
        <v>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>
      <c r="A17" s="17" t="s">
        <v>71</v>
      </c>
      <c r="B17" s="21">
        <v>3</v>
      </c>
      <c r="C17" s="1"/>
      <c r="D17" s="17" t="s">
        <v>72</v>
      </c>
      <c r="E17" s="19">
        <v>800</v>
      </c>
      <c r="F17" s="1"/>
      <c r="G17" s="17" t="s">
        <v>73</v>
      </c>
      <c r="H17" s="19">
        <v>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4.1" customHeight="1">
      <c r="A18" s="69" t="s">
        <v>74</v>
      </c>
      <c r="B18" s="70"/>
      <c r="C18" s="1"/>
      <c r="D18" s="17" t="s">
        <v>75</v>
      </c>
      <c r="E18" s="19">
        <v>300</v>
      </c>
      <c r="F18" s="1"/>
      <c r="G18" s="23" t="s">
        <v>76</v>
      </c>
      <c r="H18" s="25">
        <v>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>
      <c r="A19" s="71"/>
      <c r="B19" s="72"/>
      <c r="C19" s="1"/>
      <c r="D19" s="17" t="s">
        <v>77</v>
      </c>
      <c r="E19" s="19">
        <v>100</v>
      </c>
      <c r="F19" s="1"/>
      <c r="G19" s="35" t="s">
        <v>78</v>
      </c>
      <c r="H19" s="37">
        <f>SUM(H14,H16:H18)</f>
        <v>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22"/>
      <c r="B20" s="1"/>
      <c r="C20" s="1"/>
      <c r="D20" s="17" t="s">
        <v>79</v>
      </c>
      <c r="E20" s="19">
        <v>800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>
      <c r="A21" s="1"/>
      <c r="B21" s="1"/>
      <c r="C21" s="1"/>
      <c r="D21" s="17" t="s">
        <v>80</v>
      </c>
      <c r="E21" s="19">
        <v>1000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>
      <c r="A22" s="1"/>
      <c r="B22" s="1"/>
      <c r="C22" s="1"/>
      <c r="D22" s="23" t="s">
        <v>81</v>
      </c>
      <c r="E22" s="25"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30" t="s">
        <v>82</v>
      </c>
      <c r="E23" s="31">
        <f>SUM(E17:E22)</f>
        <v>3000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.95" customHeight="1">
      <c r="A24" s="1"/>
      <c r="B24" s="1"/>
      <c r="C24" s="1"/>
      <c r="D24" s="16" t="s">
        <v>83</v>
      </c>
      <c r="E24" s="32">
        <f>E14+E23</f>
        <v>15000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3">
    <mergeCell ref="A1:H1"/>
    <mergeCell ref="A2:H2"/>
    <mergeCell ref="A18:B19"/>
  </mergeCells>
  <phoneticPr fontId="17" type="noConversion"/>
  <dataValidations count="3">
    <dataValidation type="whole" sqref="B17 B19" xr:uid="{00000000-0002-0000-0100-000000000000}">
      <formula1>1</formula1>
      <formula2>5</formula2>
    </dataValidation>
    <dataValidation type="list" sqref="B15" xr:uid="{00000000-0002-0000-0100-000002000000}">
      <formula1>"基本生活成本,全部生活成本"</formula1>
    </dataValidation>
    <dataValidation type="decimal" operator="greaterThanOrEqual" sqref="H15" xr:uid="{00000000-0002-0000-0100-000003000000}">
      <formula1>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00"/>
  <sheetViews>
    <sheetView workbookViewId="0"/>
  </sheetViews>
  <sheetFormatPr defaultRowHeight="14.25"/>
  <cols>
    <col min="1" max="1" width="24" customWidth="1"/>
    <col min="2" max="2" width="20" customWidth="1"/>
    <col min="3" max="3" width="54" customWidth="1"/>
    <col min="4" max="4" width="3" customWidth="1"/>
    <col min="5" max="5" width="18" customWidth="1"/>
    <col min="6" max="7" width="16" customWidth="1"/>
    <col min="8" max="8" width="18" customWidth="1"/>
    <col min="9" max="10" width="16" customWidth="1"/>
  </cols>
  <sheetData>
    <row r="1" spans="1:26" ht="32.1" customHeight="1">
      <c r="A1" s="64" t="s">
        <v>84</v>
      </c>
      <c r="B1" s="65"/>
      <c r="C1" s="65"/>
      <c r="D1" s="65"/>
      <c r="E1" s="65"/>
      <c r="F1" s="65"/>
      <c r="G1" s="65"/>
      <c r="H1" s="65"/>
      <c r="I1" s="65"/>
      <c r="J1" s="6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2" customHeight="1">
      <c r="A2" s="66" t="s">
        <v>85</v>
      </c>
      <c r="B2" s="65"/>
      <c r="C2" s="65"/>
      <c r="D2" s="65"/>
      <c r="E2" s="65"/>
      <c r="F2" s="65"/>
      <c r="G2" s="65"/>
      <c r="H2" s="65"/>
      <c r="I2" s="65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38" t="s">
        <v>86</v>
      </c>
      <c r="B4" s="38" t="s">
        <v>87</v>
      </c>
      <c r="C4" s="38" t="s">
        <v>88</v>
      </c>
      <c r="D4" s="1"/>
      <c r="E4" s="73" t="s">
        <v>89</v>
      </c>
      <c r="F4" s="65"/>
      <c r="G4" s="65"/>
      <c r="H4" s="73" t="s">
        <v>90</v>
      </c>
      <c r="I4" s="65"/>
      <c r="J4" s="6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5.1" customHeight="1">
      <c r="A5" s="39" t="s">
        <v>91</v>
      </c>
      <c r="B5" s="61">
        <f>IF(输入区!$B$15="全部生活成本",输入区!$E$24,输入区!$E$14)</f>
        <v>12000</v>
      </c>
      <c r="C5" s="43" t="s">
        <v>92</v>
      </c>
      <c r="D5" s="1"/>
      <c r="E5" s="74">
        <f>B13</f>
        <v>0.33333333333333331</v>
      </c>
      <c r="F5" s="65"/>
      <c r="G5" s="65"/>
      <c r="H5" s="74">
        <f>B16</f>
        <v>9.6618357487922704E-2</v>
      </c>
      <c r="I5" s="65"/>
      <c r="J5" s="6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39" t="s">
        <v>93</v>
      </c>
      <c r="B6" s="61">
        <f>B5*12</f>
        <v>144000</v>
      </c>
      <c r="C6" s="43" t="s">
        <v>94</v>
      </c>
      <c r="D6" s="1"/>
      <c r="E6" s="75" t="s">
        <v>95</v>
      </c>
      <c r="F6" s="65"/>
      <c r="G6" s="65"/>
      <c r="H6" s="75" t="s">
        <v>96</v>
      </c>
      <c r="I6" s="65"/>
      <c r="J6" s="6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39" t="s">
        <v>97</v>
      </c>
      <c r="B7" s="61">
        <f>输入区!$H$10</f>
        <v>300000</v>
      </c>
      <c r="C7" s="43" t="s">
        <v>98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39" t="s">
        <v>78</v>
      </c>
      <c r="B8" s="61">
        <f>输入区!$H$19</f>
        <v>0</v>
      </c>
      <c r="C8" s="43" t="s">
        <v>99</v>
      </c>
      <c r="D8" s="1"/>
      <c r="E8" s="73" t="s">
        <v>100</v>
      </c>
      <c r="F8" s="65"/>
      <c r="G8" s="65"/>
      <c r="H8" s="73" t="s">
        <v>101</v>
      </c>
      <c r="I8" s="65"/>
      <c r="J8" s="6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5.1" customHeight="1">
      <c r="A9" s="39" t="s">
        <v>102</v>
      </c>
      <c r="B9" s="61">
        <f>MAX(B7-(输入区!$H$16+输入区!$H$17+输入区!$H$18),0)</f>
        <v>300000</v>
      </c>
      <c r="C9" s="62" t="s">
        <v>103</v>
      </c>
      <c r="D9" s="1"/>
      <c r="E9" s="76">
        <f>B19</f>
        <v>7.7382361612613906</v>
      </c>
      <c r="F9" s="65"/>
      <c r="G9" s="65"/>
      <c r="H9" s="74">
        <f>B17</f>
        <v>0.83333333333333337</v>
      </c>
      <c r="I9" s="65"/>
      <c r="J9" s="6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39" t="s">
        <v>104</v>
      </c>
      <c r="B10" s="61">
        <f>输入区!$H$11-输入区!$H$19</f>
        <v>360000</v>
      </c>
      <c r="C10" s="62" t="s">
        <v>105</v>
      </c>
      <c r="D10" s="1"/>
      <c r="E10" s="75" t="s">
        <v>106</v>
      </c>
      <c r="F10" s="65"/>
      <c r="G10" s="65"/>
      <c r="H10" s="75" t="s">
        <v>107</v>
      </c>
      <c r="I10" s="65"/>
      <c r="J10" s="6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39" t="s">
        <v>108</v>
      </c>
      <c r="B11" s="61">
        <f>输入区!$B$8+输入区!$B$9+输入区!$B$10</f>
        <v>3000</v>
      </c>
      <c r="C11" s="62" t="s">
        <v>109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" customHeight="1">
      <c r="A12" s="39" t="s">
        <v>110</v>
      </c>
      <c r="B12" s="61">
        <f>B9*输入区!$B$12/12</f>
        <v>1000</v>
      </c>
      <c r="C12" s="62" t="s">
        <v>111</v>
      </c>
      <c r="D12" s="1"/>
      <c r="E12" s="38" t="s">
        <v>112</v>
      </c>
      <c r="F12" s="38" t="s">
        <v>33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>
      <c r="A13" s="39" t="s">
        <v>113</v>
      </c>
      <c r="B13" s="56">
        <f>IFERROR((B11+B12)/B5,0)</f>
        <v>0.33333333333333331</v>
      </c>
      <c r="C13" s="62" t="s">
        <v>114</v>
      </c>
      <c r="D13" s="1"/>
      <c r="E13" s="39" t="s">
        <v>115</v>
      </c>
      <c r="F13" s="41">
        <f>B11</f>
        <v>3000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39" t="s">
        <v>116</v>
      </c>
      <c r="B14" s="61">
        <f>ROUND(MAX(0,(B5-B11)*12/输入区!$B$12)*输入区!$B$13,0)</f>
        <v>3105000</v>
      </c>
      <c r="C14" s="62" t="s">
        <v>117</v>
      </c>
      <c r="D14" s="1"/>
      <c r="E14" s="39" t="s">
        <v>118</v>
      </c>
      <c r="F14" s="41">
        <f>B12</f>
        <v>1000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>
      <c r="A15" s="39" t="s">
        <v>119</v>
      </c>
      <c r="B15" s="61">
        <f>ROUND(MAX(B14-B9,0),0)</f>
        <v>2805000</v>
      </c>
      <c r="C15" s="62" t="s">
        <v>120</v>
      </c>
      <c r="D15" s="1"/>
      <c r="E15" s="39" t="s">
        <v>121</v>
      </c>
      <c r="F15" s="41">
        <f>MAX(B5-B11-B12,0)</f>
        <v>8000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39" t="s">
        <v>90</v>
      </c>
      <c r="B16" s="56">
        <f>IF(B14&lt;=0,1,MIN(B9/B14,1))</f>
        <v>9.6618357487922704E-2</v>
      </c>
      <c r="C16" s="62" t="s">
        <v>122</v>
      </c>
      <c r="D16" s="1"/>
      <c r="E16" s="3"/>
      <c r="F16" s="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>
      <c r="A17" s="39" t="s">
        <v>101</v>
      </c>
      <c r="B17" s="56">
        <f>IFERROR(MIN(输入区!$H$5/(输入区!$E$14*输入区!$B$14),1),0)</f>
        <v>0.83333333333333337</v>
      </c>
      <c r="C17" s="62" t="s">
        <v>123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39" t="s">
        <v>124</v>
      </c>
      <c r="B18" s="56">
        <f>IFERROR(输入区!$B$7/输入区!$B$6,0)</f>
        <v>0.32</v>
      </c>
      <c r="C18" s="62" t="s">
        <v>125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9.5">
      <c r="A19" s="39" t="s">
        <v>100</v>
      </c>
      <c r="B19" s="57">
        <f>IF(COUNT(年度路径!$N$5:$N$65)=0,"超过60年",IF(MIN(年度路径!$N$5:$N$65)=1,0,INDEX(年度路径!$A$5:$A$65,MIN(年度路径!$N$5:$N$65)-1)+(1-INDEX(年度路径!$J$5:$J$65,MIN(年度路径!$N$5:$N$65)-1))/MAX(0.000000001,INDEX(年度路径!$J$5:$J$65,MIN(年度路径!$N$5:$N$65))-INDEX(年度路径!$J$5:$J$65,MIN(年度路径!$N$5:$N$65)-1))*(INDEX(年度路径!$A$5:$A$65,MIN(年度路径!$N$5:$N$65))-INDEX(年度路径!$A$5:$A$65,MIN(年度路径!$N$5:$N$65)-1))))</f>
        <v>7.7382361612613906</v>
      </c>
      <c r="C19" s="62" t="s">
        <v>126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950000000000003" customHeight="1">
      <c r="A20" s="39" t="s">
        <v>127</v>
      </c>
      <c r="B20" s="58">
        <f>IF(ISNUMBER(B19),输入区!$B$5+B19,"超过60年")</f>
        <v>46.738236161261391</v>
      </c>
      <c r="C20" s="43" t="s">
        <v>128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950000000000003" customHeight="1">
      <c r="A21" s="39" t="s">
        <v>129</v>
      </c>
      <c r="B21" s="42" t="str">
        <f>IF(B13&gt;=1,"财务自由阶段",IF(B13&gt;=0.5,"半自由阶段",IF(B16&gt;=0.5,"加速积累阶段",IF(B17&lt;0.5,"打地基阶段","系统启动阶段"))))</f>
        <v>系统启动阶段</v>
      </c>
      <c r="C21" s="43" t="s">
        <v>130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950000000000003" customHeight="1">
      <c r="A22" s="39" t="s">
        <v>131</v>
      </c>
      <c r="B22" s="77" t="str">
        <f>IF(B13&gt;=1,"生活成本已被覆盖，重点转向守纪律、保健康、稳节奏。",IF(B17&lt;1,"先补足应急金安全垫，再提高每月可投入金额。",IF(B18&lt;0.2,"优先提高储蓄率，砍掉低价值弹性支出。",IF(B11&lt;B5*0.3,"在主业稳定基础上，继续做产品型/可复制副业收入。","保持长期投资纪律，年度复盘即可。"))))</f>
        <v>先补足应急金安全垫，再提高每月可投入金额。</v>
      </c>
      <c r="C22" s="78" t="s">
        <v>132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15">
    <mergeCell ref="B22:C22"/>
    <mergeCell ref="E8:G8"/>
    <mergeCell ref="E9:G9"/>
    <mergeCell ref="E10:G10"/>
    <mergeCell ref="H8:J8"/>
    <mergeCell ref="H9:J9"/>
    <mergeCell ref="H10:J10"/>
    <mergeCell ref="A1:J1"/>
    <mergeCell ref="A2:J2"/>
    <mergeCell ref="E4:G4"/>
    <mergeCell ref="E5:G5"/>
    <mergeCell ref="E6:G6"/>
    <mergeCell ref="H4:J4"/>
    <mergeCell ref="H5:J5"/>
    <mergeCell ref="H6:J6"/>
  </mergeCells>
  <phoneticPr fontId="17" type="noConversion"/>
  <conditionalFormatting sqref="B11">
    <cfRule type="cellIs" dxfId="1" priority="1" operator="greaterThanOrEqual">
      <formula>1</formula>
    </cfRule>
    <cfRule type="cellIs" dxfId="0" priority="2" operator="lessThan">
      <formula>0.5</formula>
    </cfRule>
  </conditionalFormatting>
  <conditionalFormatting sqref="B13:B16">
    <cfRule type="dataBar" priority="3">
      <dataBar>
        <cfvo type="min"/>
        <cfvo type="max"/>
        <color rgb="FF2F6B4F"/>
      </dataBar>
    </cfRule>
    <cfRule type="dataBar" priority="4">
      <dataBar>
        <cfvo type="min"/>
        <cfvo type="max"/>
        <color rgb="FF2F6B4F"/>
      </dataBar>
      <extLst>
        <ext xmlns:x14="http://schemas.microsoft.com/office/spreadsheetml/2009/9/main" uri="{B025F937-C7B1-47D3-B67F-A62EFF666E3E}">
          <x14:id>{9EB17DA9-CF8E-2BA8-A3AD-D98FC3D29149}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B17DA9-CF8E-2BA8-A3AD-D98FC3D29149}">
            <x14:dataBar>
              <x14:cfvo type="min"/>
              <x14:cfvo type="max"/>
              <x14:negativeFillColor auto="1"/>
              <x14:axisColor auto="1"/>
            </x14:dataBar>
          </x14:cfRule>
          <xm:sqref>B13:B16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00"/>
  <sheetViews>
    <sheetView workbookViewId="0"/>
  </sheetViews>
  <sheetFormatPr defaultRowHeight="14.25"/>
  <cols>
    <col min="1" max="2" width="8" customWidth="1"/>
    <col min="3" max="3" width="20" customWidth="1"/>
    <col min="4" max="5" width="16" customWidth="1"/>
    <col min="6" max="6" width="20" customWidth="1"/>
    <col min="7" max="9" width="16" customWidth="1"/>
    <col min="10" max="10" width="12" customWidth="1"/>
    <col min="11" max="12" width="16" customWidth="1"/>
    <col min="13" max="13" width="12" customWidth="1"/>
    <col min="14" max="14" width="3" customWidth="1"/>
  </cols>
  <sheetData>
    <row r="1" spans="1:26" ht="32.1" customHeight="1">
      <c r="A1" s="64" t="s">
        <v>133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.950000000000003" customHeight="1">
      <c r="A2" s="66" t="s">
        <v>134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38" t="s">
        <v>135</v>
      </c>
      <c r="B4" s="38" t="s">
        <v>136</v>
      </c>
      <c r="C4" s="38" t="s">
        <v>137</v>
      </c>
      <c r="D4" s="38" t="s">
        <v>138</v>
      </c>
      <c r="E4" s="38" t="s">
        <v>139</v>
      </c>
      <c r="F4" s="38" t="s">
        <v>140</v>
      </c>
      <c r="G4" s="38" t="s">
        <v>115</v>
      </c>
      <c r="H4" s="38" t="s">
        <v>141</v>
      </c>
      <c r="I4" s="38" t="s">
        <v>142</v>
      </c>
      <c r="J4" s="38" t="s">
        <v>89</v>
      </c>
      <c r="K4" s="38" t="s">
        <v>143</v>
      </c>
      <c r="L4" s="38" t="s">
        <v>144</v>
      </c>
      <c r="M4" s="38" t="s">
        <v>145</v>
      </c>
      <c r="N4" s="63" t="s">
        <v>146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13">
        <v>0</v>
      </c>
      <c r="B5" s="13">
        <f>输入区!$B$5+A5</f>
        <v>39</v>
      </c>
      <c r="C5" s="9">
        <f>MAX(输入区!$H$10-(输入区!$H$16+输入区!$H$17+输入区!$H$18),0)</f>
        <v>300000</v>
      </c>
      <c r="D5" s="9">
        <f>0</f>
        <v>0</v>
      </c>
      <c r="E5" s="9">
        <f>0</f>
        <v>0</v>
      </c>
      <c r="F5" s="9">
        <f>C5</f>
        <v>300000</v>
      </c>
      <c r="G5" s="9">
        <f>输入区!$B$8*(1+输入区!$B$16)^A5+输入区!$B$9+输入区!$B$10</f>
        <v>3000</v>
      </c>
      <c r="H5" s="9">
        <f>F5*输入区!$B$12/12</f>
        <v>1000</v>
      </c>
      <c r="I5" s="9">
        <f>MAX(0,IF(输入区!$B$15="全部生活成本",输入区!$E$24,输入区!$E$14)-IF(AND(输入区!$H$15&gt;=0,A5&gt;=输入区!$H$15),输入区!$E$6,0))</f>
        <v>12000</v>
      </c>
      <c r="J5" s="12">
        <f t="shared" ref="J5:J36" si="0">IFERROR((G5+H5)/I5,0)</f>
        <v>0.33333333333333331</v>
      </c>
      <c r="K5" s="9">
        <f>ROUND(MAX(0,(I5-G5)*12/输入区!$B$12)*输入区!$B$13,0)</f>
        <v>3105000</v>
      </c>
      <c r="L5" s="9">
        <f t="shared" ref="L5:L36" si="1">ROUND(MAX(K5-F5,0),0)</f>
        <v>2805000</v>
      </c>
      <c r="M5" s="44" t="str">
        <f t="shared" ref="M5:M36" si="2">IF(J5&gt;=1,"自由",IF(J5&gt;=0.5,"半自由",IF(L5&gt;0,"积累中","达标")))</f>
        <v>积累中</v>
      </c>
      <c r="N5" s="63" t="str">
        <f t="shared" ref="N5:N36" si="3">IF(J5&gt;=1,A5+1,"")</f>
        <v/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13">
        <v>1</v>
      </c>
      <c r="B6" s="13">
        <f>输入区!$B$5+A6</f>
        <v>40</v>
      </c>
      <c r="C6" s="9">
        <f t="shared" ref="C6:C37" si="4">F5</f>
        <v>300000</v>
      </c>
      <c r="D6" s="9">
        <f>输入区!$B$7*12</f>
        <v>96000</v>
      </c>
      <c r="E6" s="9">
        <f>(C6+D6/2)*输入区!$B$11</f>
        <v>27840</v>
      </c>
      <c r="F6" s="9">
        <f t="shared" ref="F6:F37" si="5">C6+D6+E6</f>
        <v>423840</v>
      </c>
      <c r="G6" s="9">
        <f>输入区!$B$8*(1+输入区!$B$16)^A6+输入区!$B$9+输入区!$B$10</f>
        <v>3150</v>
      </c>
      <c r="H6" s="9">
        <f>F6*输入区!$B$12/12</f>
        <v>1412.8</v>
      </c>
      <c r="I6" s="9">
        <f>MAX(0,IF(输入区!$B$15="全部生活成本",输入区!$E$24,输入区!$E$14)-IF(AND(输入区!$H$15&gt;=0,A6&gt;=输入区!$H$15),输入区!$E$6,0))</f>
        <v>12000</v>
      </c>
      <c r="J6" s="12">
        <f t="shared" si="0"/>
        <v>0.38023333333333337</v>
      </c>
      <c r="K6" s="9">
        <f>ROUND(MAX(0,(I6-G6)*12/输入区!$B$12)*输入区!$B$13,0)</f>
        <v>3053250</v>
      </c>
      <c r="L6" s="9">
        <f t="shared" si="1"/>
        <v>2629410</v>
      </c>
      <c r="M6" s="44" t="str">
        <f t="shared" si="2"/>
        <v>积累中</v>
      </c>
      <c r="N6" s="63" t="str">
        <f t="shared" si="3"/>
        <v/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13">
        <v>2</v>
      </c>
      <c r="B7" s="13">
        <f>输入区!$B$5+A7</f>
        <v>41</v>
      </c>
      <c r="C7" s="9">
        <f t="shared" si="4"/>
        <v>423840</v>
      </c>
      <c r="D7" s="9">
        <f>输入区!$B$7*12</f>
        <v>96000</v>
      </c>
      <c r="E7" s="9">
        <f>(C7+D7/2)*输入区!$B$11</f>
        <v>37747.200000000004</v>
      </c>
      <c r="F7" s="9">
        <f t="shared" si="5"/>
        <v>557587.19999999995</v>
      </c>
      <c r="G7" s="9">
        <f>输入区!$B$8*(1+输入区!$B$16)^A7+输入区!$B$9+输入区!$B$10</f>
        <v>3307.5</v>
      </c>
      <c r="H7" s="9">
        <f>F7*输入区!$B$12/12</f>
        <v>1858.6239999999998</v>
      </c>
      <c r="I7" s="9">
        <f>MAX(0,IF(输入区!$B$15="全部生活成本",输入区!$E$24,输入区!$E$14)-IF(AND(输入区!$H$15&gt;=0,A7&gt;=输入区!$H$15),输入区!$E$6,0))</f>
        <v>12000</v>
      </c>
      <c r="J7" s="12">
        <f t="shared" si="0"/>
        <v>0.43051033333333333</v>
      </c>
      <c r="K7" s="9">
        <f>ROUND(MAX(0,(I7-G7)*12/输入区!$B$12)*输入区!$B$13,0)</f>
        <v>2998913</v>
      </c>
      <c r="L7" s="9">
        <f t="shared" si="1"/>
        <v>2441326</v>
      </c>
      <c r="M7" s="44" t="str">
        <f t="shared" si="2"/>
        <v>积累中</v>
      </c>
      <c r="N7" s="63" t="str">
        <f t="shared" si="3"/>
        <v/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13">
        <v>3</v>
      </c>
      <c r="B8" s="13">
        <f>输入区!$B$5+A8</f>
        <v>42</v>
      </c>
      <c r="C8" s="9">
        <f t="shared" si="4"/>
        <v>557587.19999999995</v>
      </c>
      <c r="D8" s="9">
        <f>输入区!$B$7*12</f>
        <v>96000</v>
      </c>
      <c r="E8" s="9">
        <f>(C8+D8/2)*输入区!$B$11</f>
        <v>48446.975999999995</v>
      </c>
      <c r="F8" s="9">
        <f t="shared" si="5"/>
        <v>702034.17599999998</v>
      </c>
      <c r="G8" s="9">
        <f>输入区!$B$8*(1+输入区!$B$16)^A8+输入区!$B$9+输入区!$B$10</f>
        <v>3472.8750000000005</v>
      </c>
      <c r="H8" s="9">
        <f>F8*输入区!$B$12/12</f>
        <v>2340.1139200000002</v>
      </c>
      <c r="I8" s="9">
        <f>MAX(0,IF(输入区!$B$15="全部生活成本",输入区!$E$24,输入区!$E$14)-IF(AND(输入区!$H$15&gt;=0,A8&gt;=输入区!$H$15),输入区!$E$6,0))</f>
        <v>12000</v>
      </c>
      <c r="J8" s="12">
        <f t="shared" si="0"/>
        <v>0.48441574333333337</v>
      </c>
      <c r="K8" s="9">
        <f>ROUND(MAX(0,(I8-G8)*12/输入区!$B$12)*输入区!$B$13,0)</f>
        <v>2941858</v>
      </c>
      <c r="L8" s="9">
        <f t="shared" si="1"/>
        <v>2239824</v>
      </c>
      <c r="M8" s="44" t="str">
        <f t="shared" si="2"/>
        <v>积累中</v>
      </c>
      <c r="N8" s="63" t="str">
        <f t="shared" si="3"/>
        <v/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>
      <c r="A9" s="13">
        <v>4</v>
      </c>
      <c r="B9" s="13">
        <f>输入区!$B$5+A9</f>
        <v>43</v>
      </c>
      <c r="C9" s="9">
        <f t="shared" si="4"/>
        <v>702034.17599999998</v>
      </c>
      <c r="D9" s="9">
        <f>输入区!$B$7*12</f>
        <v>96000</v>
      </c>
      <c r="E9" s="9">
        <f>(C9+D9/2)*输入区!$B$11</f>
        <v>60002.734080000002</v>
      </c>
      <c r="F9" s="9">
        <f t="shared" si="5"/>
        <v>858036.91007999994</v>
      </c>
      <c r="G9" s="9">
        <f>输入区!$B$8*(1+输入区!$B$16)^A9+输入区!$B$9+输入区!$B$10</f>
        <v>3646.5187500000002</v>
      </c>
      <c r="H9" s="9">
        <f>F9*输入区!$B$12/12</f>
        <v>2860.1230335999994</v>
      </c>
      <c r="I9" s="9">
        <f>MAX(0,IF(输入区!$B$15="全部生活成本",输入区!$E$24,输入区!$E$14)-IF(AND(输入区!$H$15&gt;=0,A9&gt;=输入区!$H$15),输入区!$E$6,0))</f>
        <v>12000</v>
      </c>
      <c r="J9" s="12">
        <f t="shared" si="0"/>
        <v>0.54222014863333334</v>
      </c>
      <c r="K9" s="9">
        <f>ROUND(MAX(0,(I9-G9)*12/输入区!$B$12)*输入区!$B$13,0)</f>
        <v>2881951</v>
      </c>
      <c r="L9" s="9">
        <f t="shared" si="1"/>
        <v>2023914</v>
      </c>
      <c r="M9" s="44" t="str">
        <f t="shared" si="2"/>
        <v>半自由</v>
      </c>
      <c r="N9" s="63" t="str">
        <f t="shared" si="3"/>
        <v/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13">
        <v>5</v>
      </c>
      <c r="B10" s="13">
        <f>输入区!$B$5+A10</f>
        <v>44</v>
      </c>
      <c r="C10" s="9">
        <f t="shared" si="4"/>
        <v>858036.91007999994</v>
      </c>
      <c r="D10" s="9">
        <f>输入区!$B$7*12</f>
        <v>96000</v>
      </c>
      <c r="E10" s="9">
        <f>(C10+D10/2)*输入区!$B$11</f>
        <v>72482.952806400004</v>
      </c>
      <c r="F10" s="9">
        <f t="shared" si="5"/>
        <v>1026519.8628864</v>
      </c>
      <c r="G10" s="9">
        <f>输入区!$B$8*(1+输入区!$B$16)^A10+输入区!$B$9+输入区!$B$10</f>
        <v>3828.8446875000004</v>
      </c>
      <c r="H10" s="9">
        <f>F10*输入区!$B$12/12</f>
        <v>3421.7328762880002</v>
      </c>
      <c r="I10" s="9">
        <f>MAX(0,IF(输入区!$B$15="全部生活成本",输入区!$E$24,输入区!$E$14)-IF(AND(输入区!$H$15&gt;=0,A10&gt;=输入区!$H$15),输入区!$E$6,0))</f>
        <v>12000</v>
      </c>
      <c r="J10" s="12">
        <f t="shared" si="0"/>
        <v>0.60421479698233338</v>
      </c>
      <c r="K10" s="9">
        <f>ROUND(MAX(0,(I10-G10)*12/输入区!$B$12)*输入区!$B$13,0)</f>
        <v>2819049</v>
      </c>
      <c r="L10" s="9">
        <f t="shared" si="1"/>
        <v>1792529</v>
      </c>
      <c r="M10" s="44" t="str">
        <f t="shared" si="2"/>
        <v>半自由</v>
      </c>
      <c r="N10" s="63" t="str">
        <f t="shared" si="3"/>
        <v/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13">
        <v>6</v>
      </c>
      <c r="B11" s="13">
        <f>输入区!$B$5+A11</f>
        <v>45</v>
      </c>
      <c r="C11" s="9">
        <f t="shared" si="4"/>
        <v>1026519.8628864</v>
      </c>
      <c r="D11" s="9">
        <f>输入区!$B$7*12</f>
        <v>96000</v>
      </c>
      <c r="E11" s="9">
        <f>(C11+D11/2)*输入区!$B$11</f>
        <v>85961.589030912</v>
      </c>
      <c r="F11" s="9">
        <f t="shared" si="5"/>
        <v>1208481.4519173119</v>
      </c>
      <c r="G11" s="9">
        <f>输入区!$B$8*(1+输入区!$B$16)^A11+输入区!$B$9+输入区!$B$10</f>
        <v>4020.2869218749997</v>
      </c>
      <c r="H11" s="9">
        <f>F11*输入区!$B$12/12</f>
        <v>4028.2715063910396</v>
      </c>
      <c r="I11" s="9">
        <f>MAX(0,IF(输入区!$B$15="全部生活成本",输入区!$E$24,输入区!$E$14)-IF(AND(输入区!$H$15&gt;=0,A11&gt;=输入区!$H$15),输入区!$E$6,0))</f>
        <v>12000</v>
      </c>
      <c r="J11" s="12">
        <f t="shared" si="0"/>
        <v>0.67071320235550325</v>
      </c>
      <c r="K11" s="9">
        <f>ROUND(MAX(0,(I11-G11)*12/输入区!$B$12)*输入区!$B$13,0)</f>
        <v>2753001</v>
      </c>
      <c r="L11" s="9">
        <f t="shared" si="1"/>
        <v>1544520</v>
      </c>
      <c r="M11" s="44" t="str">
        <f t="shared" si="2"/>
        <v>半自由</v>
      </c>
      <c r="N11" s="63" t="str">
        <f t="shared" si="3"/>
        <v/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>
      <c r="A12" s="13">
        <v>7</v>
      </c>
      <c r="B12" s="13">
        <f>输入区!$B$5+A12</f>
        <v>46</v>
      </c>
      <c r="C12" s="9">
        <f t="shared" si="4"/>
        <v>1208481.4519173119</v>
      </c>
      <c r="D12" s="9">
        <f>输入区!$B$7*12</f>
        <v>96000</v>
      </c>
      <c r="E12" s="9">
        <f>(C12+D12/2)*输入区!$B$11</f>
        <v>100518.51615338495</v>
      </c>
      <c r="F12" s="9">
        <f t="shared" si="5"/>
        <v>1404999.9680706968</v>
      </c>
      <c r="G12" s="9">
        <f>输入区!$B$8*(1+输入区!$B$16)^A12+输入区!$B$9+输入区!$B$10</f>
        <v>4221.3012679687508</v>
      </c>
      <c r="H12" s="9">
        <f>F12*输入区!$B$12/12</f>
        <v>4683.3332269023231</v>
      </c>
      <c r="I12" s="9">
        <f>MAX(0,IF(输入区!$B$15="全部生活成本",输入区!$E$24,输入区!$E$14)-IF(AND(输入区!$H$15&gt;=0,A12&gt;=输入区!$H$15),输入区!$E$6,0))</f>
        <v>12000</v>
      </c>
      <c r="J12" s="12">
        <f t="shared" si="0"/>
        <v>0.7420528745725895</v>
      </c>
      <c r="K12" s="9">
        <f>ROUND(MAX(0,(I12-G12)*12/输入区!$B$12)*输入区!$B$13,0)</f>
        <v>2683651</v>
      </c>
      <c r="L12" s="9">
        <f t="shared" si="1"/>
        <v>1278651</v>
      </c>
      <c r="M12" s="44" t="str">
        <f t="shared" si="2"/>
        <v>半自由</v>
      </c>
      <c r="N12" s="63" t="str">
        <f t="shared" si="3"/>
        <v/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>
      <c r="A13" s="13">
        <v>8</v>
      </c>
      <c r="B13" s="13">
        <f>输入区!$B$5+A13</f>
        <v>47</v>
      </c>
      <c r="C13" s="9">
        <f t="shared" si="4"/>
        <v>1404999.9680706968</v>
      </c>
      <c r="D13" s="9">
        <f>输入区!$B$7*12</f>
        <v>96000</v>
      </c>
      <c r="E13" s="9">
        <f>(C13+D13/2)*输入区!$B$11</f>
        <v>116239.99744565575</v>
      </c>
      <c r="F13" s="9">
        <f t="shared" si="5"/>
        <v>1617239.9655163526</v>
      </c>
      <c r="G13" s="9">
        <f>输入区!$B$8*(1+输入区!$B$16)^A13+输入区!$B$9+输入区!$B$10</f>
        <v>4432.3663313671877</v>
      </c>
      <c r="H13" s="9">
        <f>F13*输入区!$B$12/12</f>
        <v>5390.7998850545091</v>
      </c>
      <c r="I13" s="9">
        <f>MAX(0,IF(输入区!$B$15="全部生活成本",输入区!$E$24,输入区!$E$14)-IF(AND(输入区!$H$15&gt;=0,A13&gt;=输入区!$H$15),输入区!$E$6,0))</f>
        <v>9000</v>
      </c>
      <c r="J13" s="12">
        <f t="shared" si="0"/>
        <v>1.0914629129357443</v>
      </c>
      <c r="K13" s="9">
        <f>ROUND(MAX(0,(I13-G13)*12/输入区!$B$12)*输入区!$B$13,0)</f>
        <v>1575834</v>
      </c>
      <c r="L13" s="9">
        <f t="shared" si="1"/>
        <v>0</v>
      </c>
      <c r="M13" s="44" t="str">
        <f t="shared" si="2"/>
        <v>自由</v>
      </c>
      <c r="N13" s="63">
        <f t="shared" si="3"/>
        <v>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13">
        <v>9</v>
      </c>
      <c r="B14" s="13">
        <f>输入区!$B$5+A14</f>
        <v>48</v>
      </c>
      <c r="C14" s="9">
        <f t="shared" si="4"/>
        <v>1617239.9655163526</v>
      </c>
      <c r="D14" s="9">
        <f>输入区!$B$7*12</f>
        <v>96000</v>
      </c>
      <c r="E14" s="9">
        <f>(C14+D14/2)*输入区!$B$11</f>
        <v>133219.1972413082</v>
      </c>
      <c r="F14" s="9">
        <f t="shared" si="5"/>
        <v>1846459.1627576607</v>
      </c>
      <c r="G14" s="9">
        <f>输入区!$B$8*(1+输入区!$B$16)^A14+输入区!$B$9+输入区!$B$10</f>
        <v>4653.9846479355474</v>
      </c>
      <c r="H14" s="9">
        <f>F14*输入区!$B$12/12</f>
        <v>6154.8638758588686</v>
      </c>
      <c r="I14" s="9">
        <f>MAX(0,IF(输入区!$B$15="全部生活成本",输入区!$E$24,输入区!$E$14)-IF(AND(输入区!$H$15&gt;=0,A14&gt;=输入区!$H$15),输入区!$E$6,0))</f>
        <v>9000</v>
      </c>
      <c r="J14" s="12">
        <f t="shared" si="0"/>
        <v>1.2009831693104907</v>
      </c>
      <c r="K14" s="9">
        <f>ROUND(MAX(0,(I14-G14)*12/输入区!$B$12)*输入区!$B$13,0)</f>
        <v>1499375</v>
      </c>
      <c r="L14" s="9">
        <f t="shared" si="1"/>
        <v>0</v>
      </c>
      <c r="M14" s="44" t="str">
        <f t="shared" si="2"/>
        <v>自由</v>
      </c>
      <c r="N14" s="63">
        <f t="shared" si="3"/>
        <v>10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>
      <c r="A15" s="13">
        <v>10</v>
      </c>
      <c r="B15" s="13">
        <f>输入区!$B$5+A15</f>
        <v>49</v>
      </c>
      <c r="C15" s="9">
        <f t="shared" si="4"/>
        <v>1846459.1627576607</v>
      </c>
      <c r="D15" s="9">
        <f>输入区!$B$7*12</f>
        <v>96000</v>
      </c>
      <c r="E15" s="9">
        <f>(C15+D15/2)*输入区!$B$11</f>
        <v>151556.73302061285</v>
      </c>
      <c r="F15" s="9">
        <f t="shared" si="5"/>
        <v>2094015.8957782737</v>
      </c>
      <c r="G15" s="9">
        <f>输入区!$B$8*(1+输入区!$B$16)^A15+输入区!$B$9+输入区!$B$10</f>
        <v>4886.6838803323244</v>
      </c>
      <c r="H15" s="9">
        <f>F15*输入区!$B$12/12</f>
        <v>6980.0529859275784</v>
      </c>
      <c r="I15" s="9">
        <f>MAX(0,IF(输入区!$B$15="全部生活成本",输入区!$E$24,输入区!$E$14)-IF(AND(输入区!$H$15&gt;=0,A15&gt;=输入区!$H$15),输入区!$E$6,0))</f>
        <v>9000</v>
      </c>
      <c r="J15" s="12">
        <f t="shared" si="0"/>
        <v>1.3185263184733227</v>
      </c>
      <c r="K15" s="9">
        <f>ROUND(MAX(0,(I15-G15)*12/输入区!$B$12)*输入区!$B$13,0)</f>
        <v>1419094</v>
      </c>
      <c r="L15" s="9">
        <f t="shared" si="1"/>
        <v>0</v>
      </c>
      <c r="M15" s="44" t="str">
        <f t="shared" si="2"/>
        <v>自由</v>
      </c>
      <c r="N15" s="63">
        <f t="shared" si="3"/>
        <v>11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13">
        <v>11</v>
      </c>
      <c r="B16" s="13">
        <f>输入区!$B$5+A16</f>
        <v>50</v>
      </c>
      <c r="C16" s="9">
        <f t="shared" si="4"/>
        <v>2094015.8957782737</v>
      </c>
      <c r="D16" s="9">
        <f>输入区!$B$7*12</f>
        <v>96000</v>
      </c>
      <c r="E16" s="9">
        <f>(C16+D16/2)*输入区!$B$11</f>
        <v>171361.27166226189</v>
      </c>
      <c r="F16" s="9">
        <f t="shared" si="5"/>
        <v>2361377.1674405355</v>
      </c>
      <c r="G16" s="9">
        <f>输入区!$B$8*(1+输入区!$B$16)^A16+输入区!$B$9+输入区!$B$10</f>
        <v>5131.0180743489409</v>
      </c>
      <c r="H16" s="9">
        <f>F16*输入区!$B$12/12</f>
        <v>7871.257224801785</v>
      </c>
      <c r="I16" s="9">
        <f>MAX(0,IF(输入区!$B$15="全部生活成本",输入区!$E$24,输入区!$E$14)-IF(AND(输入区!$H$15&gt;=0,A16&gt;=输入区!$H$15),输入区!$E$6,0))</f>
        <v>9000</v>
      </c>
      <c r="J16" s="12">
        <f t="shared" si="0"/>
        <v>1.4446972554611919</v>
      </c>
      <c r="K16" s="9">
        <f>ROUND(MAX(0,(I16-G16)*12/输入区!$B$12)*输入区!$B$13,0)</f>
        <v>1334799</v>
      </c>
      <c r="L16" s="9">
        <f t="shared" si="1"/>
        <v>0</v>
      </c>
      <c r="M16" s="44" t="str">
        <f t="shared" si="2"/>
        <v>自由</v>
      </c>
      <c r="N16" s="63">
        <f t="shared" si="3"/>
        <v>12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>
      <c r="A17" s="13">
        <v>12</v>
      </c>
      <c r="B17" s="13">
        <f>输入区!$B$5+A17</f>
        <v>51</v>
      </c>
      <c r="C17" s="9">
        <f t="shared" si="4"/>
        <v>2361377.1674405355</v>
      </c>
      <c r="D17" s="9">
        <f>输入区!$B$7*12</f>
        <v>96000</v>
      </c>
      <c r="E17" s="9">
        <f>(C17+D17/2)*输入区!$B$11</f>
        <v>192750.17339524283</v>
      </c>
      <c r="F17" s="9">
        <f t="shared" si="5"/>
        <v>2650127.3408357785</v>
      </c>
      <c r="G17" s="9">
        <f>输入区!$B$8*(1+输入区!$B$16)^A17+输入区!$B$9+输入区!$B$10</f>
        <v>5387.5689780663879</v>
      </c>
      <c r="H17" s="9">
        <f>F17*输入区!$B$12/12</f>
        <v>8833.757802785929</v>
      </c>
      <c r="I17" s="9">
        <f>MAX(0,IF(输入区!$B$15="全部生活成本",输入区!$E$24,输入区!$E$14)-IF(AND(输入区!$H$15&gt;=0,A17&gt;=输入区!$H$15),输入区!$E$6,0))</f>
        <v>9000</v>
      </c>
      <c r="J17" s="12">
        <f t="shared" si="0"/>
        <v>1.5801474200947019</v>
      </c>
      <c r="K17" s="9">
        <f>ROUND(MAX(0,(I17-G17)*12/输入区!$B$12)*输入区!$B$13,0)</f>
        <v>1246289</v>
      </c>
      <c r="L17" s="9">
        <f t="shared" si="1"/>
        <v>0</v>
      </c>
      <c r="M17" s="44" t="str">
        <f t="shared" si="2"/>
        <v>自由</v>
      </c>
      <c r="N17" s="63">
        <f t="shared" si="3"/>
        <v>13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13">
        <v>13</v>
      </c>
      <c r="B18" s="13">
        <f>输入区!$B$5+A18</f>
        <v>52</v>
      </c>
      <c r="C18" s="9">
        <f t="shared" si="4"/>
        <v>2650127.3408357785</v>
      </c>
      <c r="D18" s="9">
        <f>输入区!$B$7*12</f>
        <v>96000</v>
      </c>
      <c r="E18" s="9">
        <f>(C18+D18/2)*输入区!$B$11</f>
        <v>215850.18726686228</v>
      </c>
      <c r="F18" s="9">
        <f t="shared" si="5"/>
        <v>2961977.528102641</v>
      </c>
      <c r="G18" s="9">
        <f>输入区!$B$8*(1+输入区!$B$16)^A18+输入区!$B$9+输入区!$B$10</f>
        <v>5656.9474269697084</v>
      </c>
      <c r="H18" s="9">
        <f>F18*输入区!$B$12/12</f>
        <v>9873.2584270088028</v>
      </c>
      <c r="I18" s="9">
        <f>MAX(0,IF(输入区!$B$15="全部生活成本",输入区!$E$24,输入区!$E$14)-IF(AND(输入区!$H$15&gt;=0,A18&gt;=输入区!$H$15),输入区!$E$6,0))</f>
        <v>9000</v>
      </c>
      <c r="J18" s="12">
        <f t="shared" si="0"/>
        <v>1.7255784282198345</v>
      </c>
      <c r="K18" s="9">
        <f>ROUND(MAX(0,(I18-G18)*12/输入区!$B$12)*输入区!$B$13,0)</f>
        <v>1153353</v>
      </c>
      <c r="L18" s="9">
        <f t="shared" si="1"/>
        <v>0</v>
      </c>
      <c r="M18" s="44" t="str">
        <f t="shared" si="2"/>
        <v>自由</v>
      </c>
      <c r="N18" s="63">
        <f t="shared" si="3"/>
        <v>14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>
      <c r="A19" s="13">
        <v>14</v>
      </c>
      <c r="B19" s="13">
        <f>输入区!$B$5+A19</f>
        <v>53</v>
      </c>
      <c r="C19" s="9">
        <f t="shared" si="4"/>
        <v>2961977.528102641</v>
      </c>
      <c r="D19" s="9">
        <f>输入区!$B$7*12</f>
        <v>96000</v>
      </c>
      <c r="E19" s="9">
        <f>(C19+D19/2)*输入区!$B$11</f>
        <v>240798.20224821128</v>
      </c>
      <c r="F19" s="9">
        <f t="shared" si="5"/>
        <v>3298775.7303508525</v>
      </c>
      <c r="G19" s="9">
        <f>输入区!$B$8*(1+输入区!$B$16)^A19+输入区!$B$9+输入区!$B$10</f>
        <v>5939.7947983181921</v>
      </c>
      <c r="H19" s="9">
        <f>F19*输入区!$B$12/12</f>
        <v>10995.919101169507</v>
      </c>
      <c r="I19" s="9">
        <f>MAX(0,IF(输入区!$B$15="全部生活成本",输入区!$E$24,输入区!$E$14)-IF(AND(输入区!$H$15&gt;=0,A19&gt;=输入区!$H$15),输入区!$E$6,0))</f>
        <v>9000</v>
      </c>
      <c r="J19" s="12">
        <f t="shared" si="0"/>
        <v>1.8817459888319665</v>
      </c>
      <c r="K19" s="9">
        <f>ROUND(MAX(0,(I19-G19)*12/输入区!$B$12)*输入区!$B$13,0)</f>
        <v>1055771</v>
      </c>
      <c r="L19" s="9">
        <f t="shared" si="1"/>
        <v>0</v>
      </c>
      <c r="M19" s="44" t="str">
        <f t="shared" si="2"/>
        <v>自由</v>
      </c>
      <c r="N19" s="63">
        <f t="shared" si="3"/>
        <v>15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>
      <c r="A20" s="13">
        <v>15</v>
      </c>
      <c r="B20" s="13">
        <f>输入区!$B$5+A20</f>
        <v>54</v>
      </c>
      <c r="C20" s="9">
        <f t="shared" si="4"/>
        <v>3298775.7303508525</v>
      </c>
      <c r="D20" s="9">
        <f>输入区!$B$7*12</f>
        <v>96000</v>
      </c>
      <c r="E20" s="9">
        <f>(C20+D20/2)*输入区!$B$11</f>
        <v>267742.05842806818</v>
      </c>
      <c r="F20" s="9">
        <f t="shared" si="5"/>
        <v>3662517.7887789207</v>
      </c>
      <c r="G20" s="9">
        <f>输入区!$B$8*(1+输入区!$B$16)^A20+输入区!$B$9+输入区!$B$10</f>
        <v>6236.7845382341038</v>
      </c>
      <c r="H20" s="9">
        <f>F20*输入区!$B$12/12</f>
        <v>12208.392629263069</v>
      </c>
      <c r="I20" s="9">
        <f>MAX(0,IF(输入区!$B$15="全部生活成本",输入区!$E$24,输入区!$E$14)-IF(AND(输入区!$H$15&gt;=0,A20&gt;=输入区!$H$15),输入区!$E$6,0))</f>
        <v>9000</v>
      </c>
      <c r="J20" s="12">
        <f t="shared" si="0"/>
        <v>2.0494641297219083</v>
      </c>
      <c r="K20" s="9">
        <f>ROUND(MAX(0,(I20-G20)*12/输入区!$B$12)*输入区!$B$13,0)</f>
        <v>953309</v>
      </c>
      <c r="L20" s="9">
        <f t="shared" si="1"/>
        <v>0</v>
      </c>
      <c r="M20" s="44" t="str">
        <f t="shared" si="2"/>
        <v>自由</v>
      </c>
      <c r="N20" s="63">
        <f t="shared" si="3"/>
        <v>16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>
      <c r="A21" s="13">
        <v>16</v>
      </c>
      <c r="B21" s="13">
        <f>输入区!$B$5+A21</f>
        <v>55</v>
      </c>
      <c r="C21" s="9">
        <f t="shared" si="4"/>
        <v>3662517.7887789207</v>
      </c>
      <c r="D21" s="9">
        <f>输入区!$B$7*12</f>
        <v>96000</v>
      </c>
      <c r="E21" s="9">
        <f>(C21+D21/2)*输入区!$B$11</f>
        <v>296841.42310231365</v>
      </c>
      <c r="F21" s="9">
        <f t="shared" si="5"/>
        <v>4055359.2118812343</v>
      </c>
      <c r="G21" s="9">
        <f>输入区!$B$8*(1+输入区!$B$16)^A21+输入区!$B$9+输入区!$B$10</f>
        <v>6548.6237651458077</v>
      </c>
      <c r="H21" s="9">
        <f>F21*输入区!$B$12/12</f>
        <v>13517.864039604116</v>
      </c>
      <c r="I21" s="9">
        <f>MAX(0,IF(输入区!$B$15="全部生活成本",输入区!$E$24,输入区!$E$14)-IF(AND(输入区!$H$15&gt;=0,A21&gt;=输入区!$H$15),输入区!$E$6,0))</f>
        <v>9000</v>
      </c>
      <c r="J21" s="12">
        <f t="shared" si="0"/>
        <v>2.2296097560833248</v>
      </c>
      <c r="K21" s="9">
        <f>ROUND(MAX(0,(I21-G21)*12/输入区!$B$12)*输入区!$B$13,0)</f>
        <v>845725</v>
      </c>
      <c r="L21" s="9">
        <f t="shared" si="1"/>
        <v>0</v>
      </c>
      <c r="M21" s="44" t="str">
        <f t="shared" si="2"/>
        <v>自由</v>
      </c>
      <c r="N21" s="63">
        <f t="shared" si="3"/>
        <v>17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>
      <c r="A22" s="13">
        <v>17</v>
      </c>
      <c r="B22" s="13">
        <f>输入区!$B$5+A22</f>
        <v>56</v>
      </c>
      <c r="C22" s="9">
        <f t="shared" si="4"/>
        <v>4055359.2118812343</v>
      </c>
      <c r="D22" s="9">
        <f>输入区!$B$7*12</f>
        <v>96000</v>
      </c>
      <c r="E22" s="9">
        <f>(C22+D22/2)*输入区!$B$11</f>
        <v>328268.73695049877</v>
      </c>
      <c r="F22" s="9">
        <f t="shared" si="5"/>
        <v>4479627.9488317333</v>
      </c>
      <c r="G22" s="9">
        <f>输入区!$B$8*(1+输入区!$B$16)^A22+输入区!$B$9+输入区!$B$10</f>
        <v>6876.0549534030997</v>
      </c>
      <c r="H22" s="9">
        <f>F22*输入区!$B$12/12</f>
        <v>14932.093162772444</v>
      </c>
      <c r="I22" s="9">
        <f>MAX(0,IF(输入区!$B$15="全部生活成本",输入区!$E$24,输入区!$E$14)-IF(AND(输入区!$H$15&gt;=0,A22&gt;=输入区!$H$15),输入区!$E$6,0))</f>
        <v>9000</v>
      </c>
      <c r="J22" s="12">
        <f t="shared" si="0"/>
        <v>2.4231275684639493</v>
      </c>
      <c r="K22" s="9">
        <f>ROUND(MAX(0,(I22-G22)*12/输入区!$B$12)*输入区!$B$13,0)</f>
        <v>732761</v>
      </c>
      <c r="L22" s="9">
        <f t="shared" si="1"/>
        <v>0</v>
      </c>
      <c r="M22" s="44" t="str">
        <f t="shared" si="2"/>
        <v>自由</v>
      </c>
      <c r="N22" s="63">
        <f t="shared" si="3"/>
        <v>18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3">
        <v>18</v>
      </c>
      <c r="B23" s="13">
        <f>输入区!$B$5+A23</f>
        <v>57</v>
      </c>
      <c r="C23" s="9">
        <f t="shared" si="4"/>
        <v>4479627.9488317333</v>
      </c>
      <c r="D23" s="9">
        <f>输入区!$B$7*12</f>
        <v>96000</v>
      </c>
      <c r="E23" s="9">
        <f>(C23+D23/2)*输入区!$B$11</f>
        <v>362210.23590653867</v>
      </c>
      <c r="F23" s="9">
        <f t="shared" si="5"/>
        <v>4937838.1847382719</v>
      </c>
      <c r="G23" s="9">
        <f>输入区!$B$8*(1+输入区!$B$16)^A23+输入区!$B$9+输入区!$B$10</f>
        <v>7219.8577010732542</v>
      </c>
      <c r="H23" s="9">
        <f>F23*输入区!$B$12/12</f>
        <v>16459.46061579424</v>
      </c>
      <c r="I23" s="9">
        <f>MAX(0,IF(输入区!$B$15="全部生活成本",输入区!$E$24,输入区!$E$14)-IF(AND(输入区!$H$15&gt;=0,A23&gt;=输入区!$H$15),输入区!$E$6,0))</f>
        <v>9000</v>
      </c>
      <c r="J23" s="12">
        <f t="shared" si="0"/>
        <v>2.6310353685408328</v>
      </c>
      <c r="K23" s="9">
        <f>ROUND(MAX(0,(I23-G23)*12/输入区!$B$12)*输入区!$B$13,0)</f>
        <v>614149</v>
      </c>
      <c r="L23" s="9">
        <f t="shared" si="1"/>
        <v>0</v>
      </c>
      <c r="M23" s="44" t="str">
        <f t="shared" si="2"/>
        <v>自由</v>
      </c>
      <c r="N23" s="63">
        <f t="shared" si="3"/>
        <v>19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3">
        <v>19</v>
      </c>
      <c r="B24" s="13">
        <f>输入区!$B$5+A24</f>
        <v>58</v>
      </c>
      <c r="C24" s="9">
        <f t="shared" si="4"/>
        <v>4937838.1847382719</v>
      </c>
      <c r="D24" s="9">
        <f>输入区!$B$7*12</f>
        <v>96000</v>
      </c>
      <c r="E24" s="9">
        <f>(C24+D24/2)*输入区!$B$11</f>
        <v>398867.05477906176</v>
      </c>
      <c r="F24" s="9">
        <f t="shared" si="5"/>
        <v>5432705.2395173339</v>
      </c>
      <c r="G24" s="9">
        <f>输入区!$B$8*(1+输入区!$B$16)^A24+输入区!$B$9+输入区!$B$10</f>
        <v>7580.8505861269168</v>
      </c>
      <c r="H24" s="9">
        <f>F24*输入区!$B$12/12</f>
        <v>18109.017465057779</v>
      </c>
      <c r="I24" s="9">
        <f>MAX(0,IF(输入区!$B$15="全部生活成本",输入区!$E$24,输入区!$E$14)-IF(AND(输入区!$H$15&gt;=0,A24&gt;=输入区!$H$15),输入区!$E$6,0))</f>
        <v>9000</v>
      </c>
      <c r="J24" s="12">
        <f t="shared" si="0"/>
        <v>2.8544297834649663</v>
      </c>
      <c r="K24" s="9">
        <f>ROUND(MAX(0,(I24-G24)*12/输入区!$B$12)*输入区!$B$13,0)</f>
        <v>489607</v>
      </c>
      <c r="L24" s="9">
        <f t="shared" si="1"/>
        <v>0</v>
      </c>
      <c r="M24" s="44" t="str">
        <f t="shared" si="2"/>
        <v>自由</v>
      </c>
      <c r="N24" s="63">
        <f t="shared" si="3"/>
        <v>20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3">
        <v>20</v>
      </c>
      <c r="B25" s="13">
        <f>输入区!$B$5+A25</f>
        <v>59</v>
      </c>
      <c r="C25" s="9">
        <f t="shared" si="4"/>
        <v>5432705.2395173339</v>
      </c>
      <c r="D25" s="9">
        <f>输入区!$B$7*12</f>
        <v>96000</v>
      </c>
      <c r="E25" s="9">
        <f>(C25+D25/2)*输入区!$B$11</f>
        <v>438456.41916138673</v>
      </c>
      <c r="F25" s="9">
        <f t="shared" si="5"/>
        <v>5967161.6586787207</v>
      </c>
      <c r="G25" s="9">
        <f>输入区!$B$8*(1+输入区!$B$16)^A25+输入区!$B$9+输入区!$B$10</f>
        <v>7959.8931154332622</v>
      </c>
      <c r="H25" s="9">
        <f>F25*输入区!$B$12/12</f>
        <v>19890.538862262405</v>
      </c>
      <c r="I25" s="9">
        <f>MAX(0,IF(输入区!$B$15="全部生活成本",输入区!$E$24,输入区!$E$14)-IF(AND(输入区!$H$15&gt;=0,A25&gt;=输入区!$H$15),输入区!$E$6,0))</f>
        <v>9000</v>
      </c>
      <c r="J25" s="12">
        <f t="shared" si="0"/>
        <v>3.0944924419661857</v>
      </c>
      <c r="K25" s="9">
        <f>ROUND(MAX(0,(I25-G25)*12/输入区!$B$12)*输入区!$B$13,0)</f>
        <v>358837</v>
      </c>
      <c r="L25" s="9">
        <f t="shared" si="1"/>
        <v>0</v>
      </c>
      <c r="M25" s="44" t="str">
        <f t="shared" si="2"/>
        <v>自由</v>
      </c>
      <c r="N25" s="63">
        <f t="shared" si="3"/>
        <v>21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3">
        <v>21</v>
      </c>
      <c r="B26" s="13">
        <f>输入区!$B$5+A26</f>
        <v>60</v>
      </c>
      <c r="C26" s="9">
        <f t="shared" si="4"/>
        <v>5967161.6586787207</v>
      </c>
      <c r="D26" s="9">
        <f>输入区!$B$7*12</f>
        <v>96000</v>
      </c>
      <c r="E26" s="9">
        <f>(C26+D26/2)*输入区!$B$11</f>
        <v>481212.93269429769</v>
      </c>
      <c r="F26" s="9">
        <f t="shared" si="5"/>
        <v>6544374.591373018</v>
      </c>
      <c r="G26" s="9">
        <f>输入区!$B$8*(1+输入区!$B$16)^A26+输入区!$B$9+输入区!$B$10</f>
        <v>8357.8877712049252</v>
      </c>
      <c r="H26" s="9">
        <f>F26*输入区!$B$12/12</f>
        <v>21814.581971243395</v>
      </c>
      <c r="I26" s="9">
        <f>MAX(0,IF(输入区!$B$15="全部生活成本",输入区!$E$24,输入区!$E$14)-IF(AND(输入区!$H$15&gt;=0,A26&gt;=输入区!$H$15),输入区!$E$6,0))</f>
        <v>9000</v>
      </c>
      <c r="J26" s="12">
        <f t="shared" si="0"/>
        <v>3.3524966380498133</v>
      </c>
      <c r="K26" s="9">
        <f>ROUND(MAX(0,(I26-G26)*12/输入区!$B$12)*输入区!$B$13,0)</f>
        <v>221529</v>
      </c>
      <c r="L26" s="9">
        <f t="shared" si="1"/>
        <v>0</v>
      </c>
      <c r="M26" s="44" t="str">
        <f t="shared" si="2"/>
        <v>自由</v>
      </c>
      <c r="N26" s="63">
        <f t="shared" si="3"/>
        <v>22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3">
        <v>22</v>
      </c>
      <c r="B27" s="13">
        <f>输入区!$B$5+A27</f>
        <v>61</v>
      </c>
      <c r="C27" s="9">
        <f t="shared" si="4"/>
        <v>6544374.591373018</v>
      </c>
      <c r="D27" s="9">
        <f>输入区!$B$7*12</f>
        <v>96000</v>
      </c>
      <c r="E27" s="9">
        <f>(C27+D27/2)*输入区!$B$11</f>
        <v>527389.96730984142</v>
      </c>
      <c r="F27" s="9">
        <f t="shared" si="5"/>
        <v>7167764.5586828589</v>
      </c>
      <c r="G27" s="9">
        <f>输入区!$B$8*(1+输入区!$B$16)^A27+输入区!$B$9+输入区!$B$10</f>
        <v>8775.7821597651709</v>
      </c>
      <c r="H27" s="9">
        <f>F27*输入区!$B$12/12</f>
        <v>23892.548528942862</v>
      </c>
      <c r="I27" s="9">
        <f>MAX(0,IF(输入区!$B$15="全部生活成本",输入区!$E$24,输入区!$E$14)-IF(AND(输入区!$H$15&gt;=0,A27&gt;=输入区!$H$15),输入区!$E$6,0))</f>
        <v>9000</v>
      </c>
      <c r="J27" s="12">
        <f t="shared" si="0"/>
        <v>3.629814520967559</v>
      </c>
      <c r="K27" s="9">
        <f>ROUND(MAX(0,(I27-G27)*12/输入区!$B$12)*输入区!$B$13,0)</f>
        <v>77355</v>
      </c>
      <c r="L27" s="9">
        <f t="shared" si="1"/>
        <v>0</v>
      </c>
      <c r="M27" s="44" t="str">
        <f t="shared" si="2"/>
        <v>自由</v>
      </c>
      <c r="N27" s="63">
        <f t="shared" si="3"/>
        <v>23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3">
        <v>23</v>
      </c>
      <c r="B28" s="13">
        <f>输入区!$B$5+A28</f>
        <v>62</v>
      </c>
      <c r="C28" s="9">
        <f t="shared" si="4"/>
        <v>7167764.5586828589</v>
      </c>
      <c r="D28" s="9">
        <f>输入区!$B$7*12</f>
        <v>96000</v>
      </c>
      <c r="E28" s="9">
        <f>(C28+D28/2)*输入区!$B$11</f>
        <v>577261.16469462868</v>
      </c>
      <c r="F28" s="9">
        <f t="shared" si="5"/>
        <v>7841025.7233774876</v>
      </c>
      <c r="G28" s="9">
        <f>输入区!$B$8*(1+输入区!$B$16)^A28+输入区!$B$9+输入区!$B$10</f>
        <v>9214.571267753432</v>
      </c>
      <c r="H28" s="9">
        <f>F28*输入区!$B$12/12</f>
        <v>26136.752411258291</v>
      </c>
      <c r="I28" s="9">
        <f>MAX(0,IF(输入区!$B$15="全部生活成本",输入区!$E$24,输入区!$E$14)-IF(AND(输入区!$H$15&gt;=0,A28&gt;=输入区!$H$15),输入区!$E$6,0))</f>
        <v>9000</v>
      </c>
      <c r="J28" s="12">
        <f t="shared" si="0"/>
        <v>3.9279248532235247</v>
      </c>
      <c r="K28" s="9">
        <f>ROUND(MAX(0,(I28-G28)*12/输入区!$B$12)*输入区!$B$13,0)</f>
        <v>0</v>
      </c>
      <c r="L28" s="9">
        <f t="shared" si="1"/>
        <v>0</v>
      </c>
      <c r="M28" s="44" t="str">
        <f t="shared" si="2"/>
        <v>自由</v>
      </c>
      <c r="N28" s="63">
        <f t="shared" si="3"/>
        <v>24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3">
        <v>24</v>
      </c>
      <c r="B29" s="13">
        <f>输入区!$B$5+A29</f>
        <v>63</v>
      </c>
      <c r="C29" s="9">
        <f t="shared" si="4"/>
        <v>7841025.7233774876</v>
      </c>
      <c r="D29" s="9">
        <f>输入区!$B$7*12</f>
        <v>96000</v>
      </c>
      <c r="E29" s="9">
        <f>(C29+D29/2)*输入区!$B$11</f>
        <v>631122.05787019897</v>
      </c>
      <c r="F29" s="9">
        <f t="shared" si="5"/>
        <v>8568147.7812476866</v>
      </c>
      <c r="G29" s="9">
        <f>输入区!$B$8*(1+输入区!$B$16)^A29+输入区!$B$9+输入区!$B$10</f>
        <v>9675.2998311411029</v>
      </c>
      <c r="H29" s="9">
        <f>F29*输入区!$B$12/12</f>
        <v>28560.492604158953</v>
      </c>
      <c r="I29" s="9">
        <f>MAX(0,IF(输入区!$B$15="全部生活成本",输入区!$E$24,输入区!$E$14)-IF(AND(输入区!$H$15&gt;=0,A29&gt;=输入区!$H$15),输入区!$E$6,0))</f>
        <v>9000</v>
      </c>
      <c r="J29" s="12">
        <f t="shared" si="0"/>
        <v>4.2484213817000063</v>
      </c>
      <c r="K29" s="9">
        <f>ROUND(MAX(0,(I29-G29)*12/输入区!$B$12)*输入区!$B$13,0)</f>
        <v>0</v>
      </c>
      <c r="L29" s="9">
        <f t="shared" si="1"/>
        <v>0</v>
      </c>
      <c r="M29" s="44" t="str">
        <f t="shared" si="2"/>
        <v>自由</v>
      </c>
      <c r="N29" s="63">
        <f t="shared" si="3"/>
        <v>25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3">
        <v>25</v>
      </c>
      <c r="B30" s="13">
        <f>输入区!$B$5+A30</f>
        <v>64</v>
      </c>
      <c r="C30" s="9">
        <f t="shared" si="4"/>
        <v>8568147.7812476866</v>
      </c>
      <c r="D30" s="9">
        <f>输入区!$B$7*12</f>
        <v>96000</v>
      </c>
      <c r="E30" s="9">
        <f>(C30+D30/2)*输入区!$B$11</f>
        <v>689291.82249981491</v>
      </c>
      <c r="F30" s="9">
        <f t="shared" si="5"/>
        <v>9353439.603747502</v>
      </c>
      <c r="G30" s="9">
        <f>输入区!$B$8*(1+输入区!$B$16)^A30+输入区!$B$9+输入区!$B$10</f>
        <v>10159.064822698158</v>
      </c>
      <c r="H30" s="9">
        <f>F30*输入区!$B$12/12</f>
        <v>31178.132012491671</v>
      </c>
      <c r="I30" s="9">
        <f>MAX(0,IF(输入区!$B$15="全部生活成本",输入区!$E$24,输入区!$E$14)-IF(AND(输入区!$H$15&gt;=0,A30&gt;=输入区!$H$15),输入区!$E$6,0))</f>
        <v>9000</v>
      </c>
      <c r="J30" s="12">
        <f t="shared" si="0"/>
        <v>4.5930218705766475</v>
      </c>
      <c r="K30" s="9">
        <f>ROUND(MAX(0,(I30-G30)*12/输入区!$B$12)*输入区!$B$13,0)</f>
        <v>0</v>
      </c>
      <c r="L30" s="9">
        <f t="shared" si="1"/>
        <v>0</v>
      </c>
      <c r="M30" s="44" t="str">
        <f t="shared" si="2"/>
        <v>自由</v>
      </c>
      <c r="N30" s="63">
        <f t="shared" si="3"/>
        <v>26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3">
        <v>26</v>
      </c>
      <c r="B31" s="13">
        <f>输入区!$B$5+A31</f>
        <v>65</v>
      </c>
      <c r="C31" s="9">
        <f t="shared" si="4"/>
        <v>9353439.603747502</v>
      </c>
      <c r="D31" s="9">
        <f>输入区!$B$7*12</f>
        <v>96000</v>
      </c>
      <c r="E31" s="9">
        <f>(C31+D31/2)*输入区!$B$11</f>
        <v>752115.16829980013</v>
      </c>
      <c r="F31" s="9">
        <f t="shared" si="5"/>
        <v>10201554.772047302</v>
      </c>
      <c r="G31" s="9">
        <f>输入区!$B$8*(1+输入区!$B$16)^A31+输入区!$B$9+输入区!$B$10</f>
        <v>10667.018063833066</v>
      </c>
      <c r="H31" s="9">
        <f>F31*输入区!$B$12/12</f>
        <v>34005.182573491009</v>
      </c>
      <c r="I31" s="9">
        <f>MAX(0,IF(输入区!$B$15="全部生活成本",输入区!$E$24,输入区!$E$14)-IF(AND(输入区!$H$15&gt;=0,A31&gt;=输入区!$H$15),输入区!$E$6,0))</f>
        <v>9000</v>
      </c>
      <c r="J31" s="12">
        <f t="shared" si="0"/>
        <v>4.963577848591564</v>
      </c>
      <c r="K31" s="9">
        <f>ROUND(MAX(0,(I31-G31)*12/输入区!$B$12)*输入区!$B$13,0)</f>
        <v>0</v>
      </c>
      <c r="L31" s="9">
        <f t="shared" si="1"/>
        <v>0</v>
      </c>
      <c r="M31" s="44" t="str">
        <f t="shared" si="2"/>
        <v>自由</v>
      </c>
      <c r="N31" s="63">
        <f t="shared" si="3"/>
        <v>27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3">
        <v>27</v>
      </c>
      <c r="B32" s="13">
        <f>输入区!$B$5+A32</f>
        <v>66</v>
      </c>
      <c r="C32" s="9">
        <f t="shared" si="4"/>
        <v>10201554.772047302</v>
      </c>
      <c r="D32" s="9">
        <f>输入区!$B$7*12</f>
        <v>96000</v>
      </c>
      <c r="E32" s="9">
        <f>(C32+D32/2)*输入区!$B$11</f>
        <v>819964.38176378421</v>
      </c>
      <c r="F32" s="9">
        <f t="shared" si="5"/>
        <v>11117519.153811086</v>
      </c>
      <c r="G32" s="9">
        <f>输入区!$B$8*(1+输入区!$B$16)^A32+输入区!$B$9+输入区!$B$10</f>
        <v>11200.36896702472</v>
      </c>
      <c r="H32" s="9">
        <f>F32*输入区!$B$12/12</f>
        <v>37058.397179370288</v>
      </c>
      <c r="I32" s="9">
        <f>MAX(0,IF(输入区!$B$15="全部生活成本",输入区!$E$24,输入区!$E$14)-IF(AND(输入区!$H$15&gt;=0,A32&gt;=输入区!$H$15),输入区!$E$6,0))</f>
        <v>9000</v>
      </c>
      <c r="J32" s="12">
        <f t="shared" si="0"/>
        <v>5.362085127377223</v>
      </c>
      <c r="K32" s="9">
        <f>ROUND(MAX(0,(I32-G32)*12/输入区!$B$12)*输入区!$B$13,0)</f>
        <v>0</v>
      </c>
      <c r="L32" s="9">
        <f t="shared" si="1"/>
        <v>0</v>
      </c>
      <c r="M32" s="44" t="str">
        <f t="shared" si="2"/>
        <v>自由</v>
      </c>
      <c r="N32" s="63">
        <f t="shared" si="3"/>
        <v>28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3">
        <v>28</v>
      </c>
      <c r="B33" s="13">
        <f>输入区!$B$5+A33</f>
        <v>67</v>
      </c>
      <c r="C33" s="9">
        <f t="shared" si="4"/>
        <v>11117519.153811086</v>
      </c>
      <c r="D33" s="9">
        <f>输入区!$B$7*12</f>
        <v>96000</v>
      </c>
      <c r="E33" s="9">
        <f>(C33+D33/2)*输入区!$B$11</f>
        <v>893241.53230488684</v>
      </c>
      <c r="F33" s="9">
        <f t="shared" si="5"/>
        <v>12106760.686115973</v>
      </c>
      <c r="G33" s="9">
        <f>输入区!$B$8*(1+输入区!$B$16)^A33+输入区!$B$9+输入区!$B$10</f>
        <v>11760.387415375953</v>
      </c>
      <c r="H33" s="9">
        <f>F33*输入区!$B$12/12</f>
        <v>40355.86895371991</v>
      </c>
      <c r="I33" s="9">
        <f>MAX(0,IF(输入区!$B$15="全部生活成本",输入区!$E$24,输入区!$E$14)-IF(AND(输入区!$H$15&gt;=0,A33&gt;=输入区!$H$15),输入区!$E$6,0))</f>
        <v>9000</v>
      </c>
      <c r="J33" s="12">
        <f t="shared" si="0"/>
        <v>5.7906951521217627</v>
      </c>
      <c r="K33" s="9">
        <f>ROUND(MAX(0,(I33-G33)*12/输入区!$B$12)*输入区!$B$13,0)</f>
        <v>0</v>
      </c>
      <c r="L33" s="9">
        <f t="shared" si="1"/>
        <v>0</v>
      </c>
      <c r="M33" s="44" t="str">
        <f t="shared" si="2"/>
        <v>自由</v>
      </c>
      <c r="N33" s="63">
        <f t="shared" si="3"/>
        <v>29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3">
        <v>29</v>
      </c>
      <c r="B34" s="13">
        <f>输入区!$B$5+A34</f>
        <v>68</v>
      </c>
      <c r="C34" s="9">
        <f t="shared" si="4"/>
        <v>12106760.686115973</v>
      </c>
      <c r="D34" s="9">
        <f>输入区!$B$7*12</f>
        <v>96000</v>
      </c>
      <c r="E34" s="9">
        <f>(C34+D34/2)*输入区!$B$11</f>
        <v>972380.85488927783</v>
      </c>
      <c r="F34" s="9">
        <f t="shared" si="5"/>
        <v>13175141.54100525</v>
      </c>
      <c r="G34" s="9">
        <f>输入区!$B$8*(1+输入区!$B$16)^A34+输入区!$B$9+输入区!$B$10</f>
        <v>12348.406786144755</v>
      </c>
      <c r="H34" s="9">
        <f>F34*输入区!$B$12/12</f>
        <v>43917.138470017497</v>
      </c>
      <c r="I34" s="9">
        <f>MAX(0,IF(输入区!$B$15="全部生活成本",输入区!$E$24,输入区!$E$14)-IF(AND(输入区!$H$15&gt;=0,A34&gt;=输入区!$H$15),输入区!$E$6,0))</f>
        <v>9000</v>
      </c>
      <c r="J34" s="12">
        <f t="shared" si="0"/>
        <v>6.251727250684695</v>
      </c>
      <c r="K34" s="9">
        <f>ROUND(MAX(0,(I34-G34)*12/输入区!$B$12)*输入区!$B$13,0)</f>
        <v>0</v>
      </c>
      <c r="L34" s="9">
        <f t="shared" si="1"/>
        <v>0</v>
      </c>
      <c r="M34" s="44" t="str">
        <f t="shared" si="2"/>
        <v>自由</v>
      </c>
      <c r="N34" s="63">
        <f t="shared" si="3"/>
        <v>30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3">
        <v>30</v>
      </c>
      <c r="B35" s="13">
        <f>输入区!$B$5+A35</f>
        <v>69</v>
      </c>
      <c r="C35" s="9">
        <f t="shared" si="4"/>
        <v>13175141.54100525</v>
      </c>
      <c r="D35" s="9">
        <f>输入区!$B$7*12</f>
        <v>96000</v>
      </c>
      <c r="E35" s="9">
        <f>(C35+D35/2)*输入区!$B$11</f>
        <v>1057851.3232804199</v>
      </c>
      <c r="F35" s="9">
        <f t="shared" si="5"/>
        <v>14328992.86428567</v>
      </c>
      <c r="G35" s="9">
        <f>输入区!$B$8*(1+输入区!$B$16)^A35+输入区!$B$9+输入区!$B$10</f>
        <v>12965.827125451988</v>
      </c>
      <c r="H35" s="9">
        <f>F35*输入区!$B$12/12</f>
        <v>47763.309547618905</v>
      </c>
      <c r="I35" s="9">
        <f>MAX(0,IF(输入区!$B$15="全部生活成本",输入区!$E$24,输入区!$E$14)-IF(AND(输入区!$H$15&gt;=0,A35&gt;=输入区!$H$15),输入区!$E$6,0))</f>
        <v>9000</v>
      </c>
      <c r="J35" s="12">
        <f t="shared" si="0"/>
        <v>6.7476818525634323</v>
      </c>
      <c r="K35" s="9">
        <f>ROUND(MAX(0,(I35-G35)*12/输入区!$B$12)*输入区!$B$13,0)</f>
        <v>0</v>
      </c>
      <c r="L35" s="9">
        <f t="shared" si="1"/>
        <v>0</v>
      </c>
      <c r="M35" s="44" t="str">
        <f t="shared" si="2"/>
        <v>自由</v>
      </c>
      <c r="N35" s="63">
        <f t="shared" si="3"/>
        <v>31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3">
        <v>31</v>
      </c>
      <c r="B36" s="13">
        <f>输入区!$B$5+A36</f>
        <v>70</v>
      </c>
      <c r="C36" s="9">
        <f t="shared" si="4"/>
        <v>14328992.86428567</v>
      </c>
      <c r="D36" s="9">
        <f>输入区!$B$7*12</f>
        <v>96000</v>
      </c>
      <c r="E36" s="9">
        <f>(C36+D36/2)*输入区!$B$11</f>
        <v>1150159.4291428537</v>
      </c>
      <c r="F36" s="9">
        <f t="shared" si="5"/>
        <v>15575152.293428523</v>
      </c>
      <c r="G36" s="9">
        <f>输入区!$B$8*(1+输入区!$B$16)^A36+输入区!$B$9+输入区!$B$10</f>
        <v>13614.118481724592</v>
      </c>
      <c r="H36" s="9">
        <f>F36*输入区!$B$12/12</f>
        <v>51917.174311428411</v>
      </c>
      <c r="I36" s="9">
        <f>MAX(0,IF(输入区!$B$15="全部生活成本",输入区!$E$24,输入区!$E$14)-IF(AND(输入区!$H$15&gt;=0,A36&gt;=输入区!$H$15),输入区!$E$6,0))</f>
        <v>9000</v>
      </c>
      <c r="J36" s="12">
        <f t="shared" si="0"/>
        <v>7.2812547547947775</v>
      </c>
      <c r="K36" s="9">
        <f>ROUND(MAX(0,(I36-G36)*12/输入区!$B$12)*输入区!$B$13,0)</f>
        <v>0</v>
      </c>
      <c r="L36" s="9">
        <f t="shared" si="1"/>
        <v>0</v>
      </c>
      <c r="M36" s="1" t="str">
        <f t="shared" si="2"/>
        <v>自由</v>
      </c>
      <c r="N36" s="63">
        <f t="shared" si="3"/>
        <v>32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3">
        <v>32</v>
      </c>
      <c r="B37" s="13">
        <f>输入区!$B$5+A37</f>
        <v>71</v>
      </c>
      <c r="C37" s="9">
        <f t="shared" si="4"/>
        <v>15575152.293428523</v>
      </c>
      <c r="D37" s="9">
        <f>输入区!$B$7*12</f>
        <v>96000</v>
      </c>
      <c r="E37" s="9">
        <f>(C37+D37/2)*输入区!$B$11</f>
        <v>1249852.1834742818</v>
      </c>
      <c r="F37" s="9">
        <f t="shared" si="5"/>
        <v>16921004.476902805</v>
      </c>
      <c r="G37" s="9">
        <f>输入区!$B$8*(1+输入区!$B$16)^A37+输入区!$B$9+输入区!$B$10</f>
        <v>14294.824405810821</v>
      </c>
      <c r="H37" s="9">
        <f>F37*输入区!$B$12/12</f>
        <v>56403.348256342688</v>
      </c>
      <c r="I37" s="9">
        <f>MAX(0,IF(输入区!$B$15="全部生活成本",输入区!$E$24,输入区!$E$14)-IF(AND(输入区!$H$15&gt;=0,A37&gt;=输入区!$H$15),输入区!$E$6,0))</f>
        <v>9000</v>
      </c>
      <c r="J37" s="12">
        <f t="shared" ref="J37:J68" si="6">IFERROR((G37+H37)/I37,0)</f>
        <v>7.8553525180170558</v>
      </c>
      <c r="K37" s="9">
        <f>ROUND(MAX(0,(I37-G37)*12/输入区!$B$12)*输入区!$B$13,0)</f>
        <v>0</v>
      </c>
      <c r="L37" s="9">
        <f t="shared" ref="L37:L68" si="7">ROUND(MAX(K37-F37,0),0)</f>
        <v>0</v>
      </c>
      <c r="M37" s="1" t="str">
        <f t="shared" ref="M37:M68" si="8">IF(J37&gt;=1,"自由",IF(J37&gt;=0.5,"半自由",IF(L37&gt;0,"积累中","达标")))</f>
        <v>自由</v>
      </c>
      <c r="N37" s="63">
        <f t="shared" ref="N37:N65" si="9">IF(J37&gt;=1,A37+1,"")</f>
        <v>33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3">
        <v>33</v>
      </c>
      <c r="B38" s="13">
        <f>输入区!$B$5+A38</f>
        <v>72</v>
      </c>
      <c r="C38" s="9">
        <f t="shared" ref="C38:C65" si="10">F37</f>
        <v>16921004.476902805</v>
      </c>
      <c r="D38" s="9">
        <f>输入区!$B$7*12</f>
        <v>96000</v>
      </c>
      <c r="E38" s="9">
        <f>(C38+D38/2)*输入区!$B$11</f>
        <v>1357520.3581522244</v>
      </c>
      <c r="F38" s="9">
        <f t="shared" ref="F38:F69" si="11">C38+D38+E38</f>
        <v>18374524.835055031</v>
      </c>
      <c r="G38" s="9">
        <f>输入区!$B$8*(1+输入区!$B$16)^A38+输入区!$B$9+输入区!$B$10</f>
        <v>15009.565626101363</v>
      </c>
      <c r="H38" s="9">
        <f>F38*输入区!$B$12/12</f>
        <v>61248.416116850101</v>
      </c>
      <c r="I38" s="9">
        <f>MAX(0,IF(输入区!$B$15="全部生活成本",输入区!$E$24,输入区!$E$14)-IF(AND(输入区!$H$15&gt;=0,A38&gt;=输入区!$H$15),输入区!$E$6,0))</f>
        <v>9000</v>
      </c>
      <c r="J38" s="12">
        <f t="shared" si="6"/>
        <v>8.4731090825501632</v>
      </c>
      <c r="K38" s="9">
        <f>ROUND(MAX(0,(I38-G38)*12/输入区!$B$12)*输入区!$B$13,0)</f>
        <v>0</v>
      </c>
      <c r="L38" s="9">
        <f t="shared" si="7"/>
        <v>0</v>
      </c>
      <c r="M38" s="1" t="str">
        <f t="shared" si="8"/>
        <v>自由</v>
      </c>
      <c r="N38" s="63">
        <f t="shared" si="9"/>
        <v>34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3">
        <v>34</v>
      </c>
      <c r="B39" s="13">
        <f>输入区!$B$5+A39</f>
        <v>73</v>
      </c>
      <c r="C39" s="9">
        <f t="shared" si="10"/>
        <v>18374524.835055031</v>
      </c>
      <c r="D39" s="9">
        <f>输入区!$B$7*12</f>
        <v>96000</v>
      </c>
      <c r="E39" s="9">
        <f>(C39+D39/2)*输入区!$B$11</f>
        <v>1473801.9868044024</v>
      </c>
      <c r="F39" s="9">
        <f t="shared" si="11"/>
        <v>19944326.821859434</v>
      </c>
      <c r="G39" s="9">
        <f>输入区!$B$8*(1+输入区!$B$16)^A39+输入区!$B$9+输入区!$B$10</f>
        <v>15760.043907406429</v>
      </c>
      <c r="H39" s="9">
        <f>F39*输入区!$B$12/12</f>
        <v>66481.089406198109</v>
      </c>
      <c r="I39" s="9">
        <f>MAX(0,IF(输入区!$B$15="全部生活成本",输入区!$E$24,输入区!$E$14)-IF(AND(输入区!$H$15&gt;=0,A39&gt;=输入区!$H$15),输入区!$E$6,0))</f>
        <v>9000</v>
      </c>
      <c r="J39" s="12">
        <f t="shared" si="6"/>
        <v>9.1379037015116165</v>
      </c>
      <c r="K39" s="9">
        <f>ROUND(MAX(0,(I39-G39)*12/输入区!$B$12)*输入区!$B$13,0)</f>
        <v>0</v>
      </c>
      <c r="L39" s="9">
        <f t="shared" si="7"/>
        <v>0</v>
      </c>
      <c r="M39" s="1" t="str">
        <f t="shared" si="8"/>
        <v>自由</v>
      </c>
      <c r="N39" s="63">
        <f t="shared" si="9"/>
        <v>35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3">
        <v>35</v>
      </c>
      <c r="B40" s="13">
        <f>输入区!$B$5+A40</f>
        <v>74</v>
      </c>
      <c r="C40" s="9">
        <f t="shared" si="10"/>
        <v>19944326.821859434</v>
      </c>
      <c r="D40" s="9">
        <f>输入区!$B$7*12</f>
        <v>96000</v>
      </c>
      <c r="E40" s="9">
        <f>(C40+D40/2)*输入区!$B$11</f>
        <v>1599386.1457487547</v>
      </c>
      <c r="F40" s="9">
        <f t="shared" si="11"/>
        <v>21639712.967608187</v>
      </c>
      <c r="G40" s="9">
        <f>输入区!$B$8*(1+输入区!$B$16)^A40+输入区!$B$9+输入区!$B$10</f>
        <v>16548.046102776752</v>
      </c>
      <c r="H40" s="9">
        <f>F40*输入区!$B$12/12</f>
        <v>72132.376558693955</v>
      </c>
      <c r="I40" s="9">
        <f>MAX(0,IF(输入区!$B$15="全部生活成本",输入区!$E$24,输入区!$E$14)-IF(AND(输入区!$H$15&gt;=0,A40&gt;=输入区!$H$15),输入区!$E$6,0))</f>
        <v>9000</v>
      </c>
      <c r="J40" s="12">
        <f t="shared" si="6"/>
        <v>9.8533802957189689</v>
      </c>
      <c r="K40" s="9">
        <f>ROUND(MAX(0,(I40-G40)*12/输入区!$B$12)*输入区!$B$13,0)</f>
        <v>0</v>
      </c>
      <c r="L40" s="9">
        <f t="shared" si="7"/>
        <v>0</v>
      </c>
      <c r="M40" s="1" t="str">
        <f t="shared" si="8"/>
        <v>自由</v>
      </c>
      <c r="N40" s="63">
        <f t="shared" si="9"/>
        <v>36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3">
        <v>36</v>
      </c>
      <c r="B41" s="13">
        <f>输入区!$B$5+A41</f>
        <v>75</v>
      </c>
      <c r="C41" s="9">
        <f t="shared" si="10"/>
        <v>21639712.967608187</v>
      </c>
      <c r="D41" s="9">
        <f>输入区!$B$7*12</f>
        <v>96000</v>
      </c>
      <c r="E41" s="9">
        <f>(C41+D41/2)*输入区!$B$11</f>
        <v>1735017.037408655</v>
      </c>
      <c r="F41" s="9">
        <f t="shared" si="11"/>
        <v>23470730.005016841</v>
      </c>
      <c r="G41" s="9">
        <f>输入区!$B$8*(1+输入区!$B$16)^A41+输入区!$B$9+输入区!$B$10</f>
        <v>17375.448407915588</v>
      </c>
      <c r="H41" s="9">
        <f>F41*输入区!$B$12/12</f>
        <v>78235.766683389476</v>
      </c>
      <c r="I41" s="9">
        <f>MAX(0,IF(输入区!$B$15="全部生活成本",输入区!$E$24,输入区!$E$14)-IF(AND(输入区!$H$15&gt;=0,A41&gt;=输入区!$H$15),输入区!$E$6,0))</f>
        <v>9000</v>
      </c>
      <c r="J41" s="12">
        <f t="shared" si="6"/>
        <v>10.62346834347834</v>
      </c>
      <c r="K41" s="9">
        <f>ROUND(MAX(0,(I41-G41)*12/输入区!$B$12)*输入区!$B$13,0)</f>
        <v>0</v>
      </c>
      <c r="L41" s="9">
        <f t="shared" si="7"/>
        <v>0</v>
      </c>
      <c r="M41" s="1" t="str">
        <f t="shared" si="8"/>
        <v>自由</v>
      </c>
      <c r="N41" s="63">
        <f t="shared" si="9"/>
        <v>37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3">
        <v>37</v>
      </c>
      <c r="B42" s="13">
        <f>输入区!$B$5+A42</f>
        <v>76</v>
      </c>
      <c r="C42" s="9">
        <f t="shared" si="10"/>
        <v>23470730.005016841</v>
      </c>
      <c r="D42" s="9">
        <f>输入区!$B$7*12</f>
        <v>96000</v>
      </c>
      <c r="E42" s="9">
        <f>(C42+D42/2)*输入区!$B$11</f>
        <v>1881498.4004013473</v>
      </c>
      <c r="F42" s="9">
        <f t="shared" si="11"/>
        <v>25448228.405418187</v>
      </c>
      <c r="G42" s="9">
        <f>输入区!$B$8*(1+输入区!$B$16)^A42+输入区!$B$9+输入区!$B$10</f>
        <v>18244.220828311369</v>
      </c>
      <c r="H42" s="9">
        <f>F42*输入区!$B$12/12</f>
        <v>84827.428018060629</v>
      </c>
      <c r="I42" s="9">
        <f>MAX(0,IF(输入区!$B$15="全部生活成本",输入区!$E$24,输入区!$E$14)-IF(AND(输入区!$H$15&gt;=0,A42&gt;=输入区!$H$15),输入区!$E$6,0))</f>
        <v>9000</v>
      </c>
      <c r="J42" s="12">
        <f t="shared" si="6"/>
        <v>11.452405427374666</v>
      </c>
      <c r="K42" s="9">
        <f>ROUND(MAX(0,(I42-G42)*12/输入区!$B$12)*输入区!$B$13,0)</f>
        <v>0</v>
      </c>
      <c r="L42" s="9">
        <f t="shared" si="7"/>
        <v>0</v>
      </c>
      <c r="M42" s="1" t="str">
        <f t="shared" si="8"/>
        <v>自由</v>
      </c>
      <c r="N42" s="63">
        <f t="shared" si="9"/>
        <v>38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3">
        <v>38</v>
      </c>
      <c r="B43" s="13">
        <f>输入区!$B$5+A43</f>
        <v>77</v>
      </c>
      <c r="C43" s="9">
        <f t="shared" si="10"/>
        <v>25448228.405418187</v>
      </c>
      <c r="D43" s="9">
        <f>输入区!$B$7*12</f>
        <v>96000</v>
      </c>
      <c r="E43" s="9">
        <f>(C43+D43/2)*输入区!$B$11</f>
        <v>2039698.2724334551</v>
      </c>
      <c r="F43" s="9">
        <f t="shared" si="11"/>
        <v>27583926.677851643</v>
      </c>
      <c r="G43" s="9">
        <f>输入区!$B$8*(1+输入区!$B$16)^A43+输入区!$B$9+输入区!$B$10</f>
        <v>19156.431869726934</v>
      </c>
      <c r="H43" s="9">
        <f>F43*输入区!$B$12/12</f>
        <v>91946.422259505489</v>
      </c>
      <c r="I43" s="9">
        <f>MAX(0,IF(输入区!$B$15="全部生活成本",输入区!$E$24,输入区!$E$14)-IF(AND(输入区!$H$15&gt;=0,A43&gt;=输入区!$H$15),输入区!$E$6,0))</f>
        <v>9000</v>
      </c>
      <c r="J43" s="12">
        <f t="shared" si="6"/>
        <v>12.344761569914713</v>
      </c>
      <c r="K43" s="9">
        <f>ROUND(MAX(0,(I43-G43)*12/输入区!$B$12)*输入区!$B$13,0)</f>
        <v>0</v>
      </c>
      <c r="L43" s="9">
        <f t="shared" si="7"/>
        <v>0</v>
      </c>
      <c r="M43" s="1" t="str">
        <f t="shared" si="8"/>
        <v>自由</v>
      </c>
      <c r="N43" s="63">
        <f t="shared" si="9"/>
        <v>39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3">
        <v>39</v>
      </c>
      <c r="B44" s="13">
        <f>输入区!$B$5+A44</f>
        <v>78</v>
      </c>
      <c r="C44" s="9">
        <f t="shared" si="10"/>
        <v>27583926.677851643</v>
      </c>
      <c r="D44" s="9">
        <f>输入区!$B$7*12</f>
        <v>96000</v>
      </c>
      <c r="E44" s="9">
        <f>(C44+D44/2)*输入区!$B$11</f>
        <v>2210554.1342281317</v>
      </c>
      <c r="F44" s="9">
        <f t="shared" si="11"/>
        <v>29890480.812079776</v>
      </c>
      <c r="G44" s="9">
        <f>输入区!$B$8*(1+输入区!$B$16)^A44+输入区!$B$9+输入区!$B$10</f>
        <v>20114.253463213285</v>
      </c>
      <c r="H44" s="9">
        <f>F44*输入区!$B$12/12</f>
        <v>99634.936040265937</v>
      </c>
      <c r="I44" s="9">
        <f>MAX(0,IF(输入区!$B$15="全部生活成本",输入区!$E$24,输入区!$E$14)-IF(AND(输入区!$H$15&gt;=0,A44&gt;=输入区!$H$15),输入区!$E$6,0))</f>
        <v>9000</v>
      </c>
      <c r="J44" s="12">
        <f t="shared" si="6"/>
        <v>13.30546550038658</v>
      </c>
      <c r="K44" s="9">
        <f>ROUND(MAX(0,(I44-G44)*12/输入区!$B$12)*输入区!$B$13,0)</f>
        <v>0</v>
      </c>
      <c r="L44" s="9">
        <f t="shared" si="7"/>
        <v>0</v>
      </c>
      <c r="M44" s="1" t="str">
        <f t="shared" si="8"/>
        <v>自由</v>
      </c>
      <c r="N44" s="63">
        <f t="shared" si="9"/>
        <v>40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3">
        <v>40</v>
      </c>
      <c r="B45" s="13">
        <f>输入区!$B$5+A45</f>
        <v>79</v>
      </c>
      <c r="C45" s="9">
        <f t="shared" si="10"/>
        <v>29890480.812079776</v>
      </c>
      <c r="D45" s="9">
        <f>输入区!$B$7*12</f>
        <v>96000</v>
      </c>
      <c r="E45" s="9">
        <f>(C45+D45/2)*输入区!$B$11</f>
        <v>2395078.4649663824</v>
      </c>
      <c r="F45" s="9">
        <f t="shared" si="11"/>
        <v>32381559.277046159</v>
      </c>
      <c r="G45" s="9">
        <f>输入区!$B$8*(1+输入区!$B$16)^A45+输入区!$B$9+输入区!$B$10</f>
        <v>21119.966136373947</v>
      </c>
      <c r="H45" s="9">
        <f>F45*输入区!$B$12/12</f>
        <v>107938.5309234872</v>
      </c>
      <c r="I45" s="9">
        <f>MAX(0,IF(输入区!$B$15="全部生活成本",输入区!$E$24,输入区!$E$14)-IF(AND(输入区!$H$15&gt;=0,A45&gt;=输入区!$H$15),输入区!$E$6,0))</f>
        <v>9000</v>
      </c>
      <c r="J45" s="12">
        <f t="shared" si="6"/>
        <v>14.339833006651238</v>
      </c>
      <c r="K45" s="9">
        <f>ROUND(MAX(0,(I45-G45)*12/输入区!$B$12)*输入区!$B$13,0)</f>
        <v>0</v>
      </c>
      <c r="L45" s="9">
        <f t="shared" si="7"/>
        <v>0</v>
      </c>
      <c r="M45" s="1" t="str">
        <f t="shared" si="8"/>
        <v>自由</v>
      </c>
      <c r="N45" s="63">
        <f t="shared" si="9"/>
        <v>41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3">
        <v>41</v>
      </c>
      <c r="B46" s="13">
        <f>输入区!$B$5+A46</f>
        <v>80</v>
      </c>
      <c r="C46" s="9">
        <f t="shared" si="10"/>
        <v>32381559.277046159</v>
      </c>
      <c r="D46" s="9">
        <f>输入区!$B$7*12</f>
        <v>96000</v>
      </c>
      <c r="E46" s="9">
        <f>(C46+D46/2)*输入区!$B$11</f>
        <v>2594364.7421636926</v>
      </c>
      <c r="F46" s="9">
        <f t="shared" si="11"/>
        <v>35071924.019209854</v>
      </c>
      <c r="G46" s="9">
        <f>输入区!$B$8*(1+输入区!$B$16)^A46+输入区!$B$9+输入区!$B$10</f>
        <v>22175.964443192646</v>
      </c>
      <c r="H46" s="9">
        <f>F46*输入区!$B$12/12</f>
        <v>116906.41339736618</v>
      </c>
      <c r="I46" s="9">
        <f>MAX(0,IF(输入区!$B$15="全部生活成本",输入区!$E$24,输入区!$E$14)-IF(AND(输入区!$H$15&gt;=0,A46&gt;=输入区!$H$15),输入区!$E$6,0))</f>
        <v>9000</v>
      </c>
      <c r="J46" s="12">
        <f t="shared" si="6"/>
        <v>15.453597537839869</v>
      </c>
      <c r="K46" s="9">
        <f>ROUND(MAX(0,(I46-G46)*12/输入区!$B$12)*输入区!$B$13,0)</f>
        <v>0</v>
      </c>
      <c r="L46" s="9">
        <f t="shared" si="7"/>
        <v>0</v>
      </c>
      <c r="M46" s="1" t="str">
        <f t="shared" si="8"/>
        <v>自由</v>
      </c>
      <c r="N46" s="63">
        <f t="shared" si="9"/>
        <v>42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3">
        <v>42</v>
      </c>
      <c r="B47" s="13">
        <f>输入区!$B$5+A47</f>
        <v>81</v>
      </c>
      <c r="C47" s="9">
        <f t="shared" si="10"/>
        <v>35071924.019209854</v>
      </c>
      <c r="D47" s="9">
        <f>输入区!$B$7*12</f>
        <v>96000</v>
      </c>
      <c r="E47" s="9">
        <f>(C47+D47/2)*输入区!$B$11</f>
        <v>2809593.9215367883</v>
      </c>
      <c r="F47" s="9">
        <f t="shared" si="11"/>
        <v>37977517.940746643</v>
      </c>
      <c r="G47" s="9">
        <f>输入区!$B$8*(1+输入区!$B$16)^A47+输入区!$B$9+输入区!$B$10</f>
        <v>23284.762665352278</v>
      </c>
      <c r="H47" s="9">
        <f>F47*输入区!$B$12/12</f>
        <v>126591.72646915547</v>
      </c>
      <c r="I47" s="9">
        <f>MAX(0,IF(输入区!$B$15="全部生活成本",输入区!$E$24,输入区!$E$14)-IF(AND(输入区!$H$15&gt;=0,A47&gt;=输入区!$H$15),输入区!$E$6,0))</f>
        <v>9000</v>
      </c>
      <c r="J47" s="12">
        <f t="shared" si="6"/>
        <v>16.652943237167527</v>
      </c>
      <c r="K47" s="9">
        <f>ROUND(MAX(0,(I47-G47)*12/输入区!$B$12)*输入区!$B$13,0)</f>
        <v>0</v>
      </c>
      <c r="L47" s="9">
        <f t="shared" si="7"/>
        <v>0</v>
      </c>
      <c r="M47" s="1" t="str">
        <f t="shared" si="8"/>
        <v>自由</v>
      </c>
      <c r="N47" s="63">
        <f t="shared" si="9"/>
        <v>43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3">
        <v>43</v>
      </c>
      <c r="B48" s="13">
        <f>输入区!$B$5+A48</f>
        <v>82</v>
      </c>
      <c r="C48" s="9">
        <f t="shared" si="10"/>
        <v>37977517.940746643</v>
      </c>
      <c r="D48" s="9">
        <f>输入区!$B$7*12</f>
        <v>96000</v>
      </c>
      <c r="E48" s="9">
        <f>(C48+D48/2)*输入区!$B$11</f>
        <v>3042041.4352597315</v>
      </c>
      <c r="F48" s="9">
        <f t="shared" si="11"/>
        <v>41115559.376006372</v>
      </c>
      <c r="G48" s="9">
        <f>输入区!$B$8*(1+输入区!$B$16)^A48+输入区!$B$9+输入区!$B$10</f>
        <v>24449.000798619894</v>
      </c>
      <c r="H48" s="9">
        <f>F48*输入区!$B$12/12</f>
        <v>137051.86458668791</v>
      </c>
      <c r="I48" s="9">
        <f>MAX(0,IF(输入区!$B$15="全部生活成本",输入区!$E$24,输入区!$E$14)-IF(AND(输入区!$H$15&gt;=0,A48&gt;=输入区!$H$15),输入区!$E$6,0))</f>
        <v>9000</v>
      </c>
      <c r="J48" s="12">
        <f t="shared" si="6"/>
        <v>17.944540598367535</v>
      </c>
      <c r="K48" s="9">
        <f>ROUND(MAX(0,(I48-G48)*12/输入区!$B$12)*输入区!$B$13,0)</f>
        <v>0</v>
      </c>
      <c r="L48" s="9">
        <f t="shared" si="7"/>
        <v>0</v>
      </c>
      <c r="M48" s="1" t="str">
        <f t="shared" si="8"/>
        <v>自由</v>
      </c>
      <c r="N48" s="63">
        <f t="shared" si="9"/>
        <v>44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3">
        <v>44</v>
      </c>
      <c r="B49" s="13">
        <f>输入区!$B$5+A49</f>
        <v>83</v>
      </c>
      <c r="C49" s="9">
        <f t="shared" si="10"/>
        <v>41115559.376006372</v>
      </c>
      <c r="D49" s="9">
        <f>输入区!$B$7*12</f>
        <v>96000</v>
      </c>
      <c r="E49" s="9">
        <f>(C49+D49/2)*输入区!$B$11</f>
        <v>3293084.75008051</v>
      </c>
      <c r="F49" s="9">
        <f t="shared" si="11"/>
        <v>44504644.126086883</v>
      </c>
      <c r="G49" s="9">
        <f>输入区!$B$8*(1+输入区!$B$16)^A49+输入区!$B$9+输入区!$B$10</f>
        <v>25671.450838550889</v>
      </c>
      <c r="H49" s="9">
        <f>F49*输入区!$B$12/12</f>
        <v>148348.81375362296</v>
      </c>
      <c r="I49" s="9">
        <f>MAX(0,IF(输入区!$B$15="全部生活成本",输入区!$E$24,输入区!$E$14)-IF(AND(输入区!$H$15&gt;=0,A49&gt;=输入区!$H$15),输入区!$E$6,0))</f>
        <v>9000</v>
      </c>
      <c r="J49" s="12">
        <f t="shared" si="6"/>
        <v>19.335584954685984</v>
      </c>
      <c r="K49" s="9">
        <f>ROUND(MAX(0,(I49-G49)*12/输入区!$B$12)*输入区!$B$13,0)</f>
        <v>0</v>
      </c>
      <c r="L49" s="9">
        <f t="shared" si="7"/>
        <v>0</v>
      </c>
      <c r="M49" s="1" t="str">
        <f t="shared" si="8"/>
        <v>自由</v>
      </c>
      <c r="N49" s="63">
        <f t="shared" si="9"/>
        <v>45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3">
        <v>45</v>
      </c>
      <c r="B50" s="13">
        <f>输入区!$B$5+A50</f>
        <v>84</v>
      </c>
      <c r="C50" s="9">
        <f t="shared" si="10"/>
        <v>44504644.126086883</v>
      </c>
      <c r="D50" s="9">
        <f>输入区!$B$7*12</f>
        <v>96000</v>
      </c>
      <c r="E50" s="9">
        <f>(C50+D50/2)*输入区!$B$11</f>
        <v>3564211.5300869509</v>
      </c>
      <c r="F50" s="9">
        <f t="shared" si="11"/>
        <v>48164855.656173833</v>
      </c>
      <c r="G50" s="9">
        <f>输入区!$B$8*(1+输入区!$B$16)^A50+输入区!$B$9+输入区!$B$10</f>
        <v>26955.023380478437</v>
      </c>
      <c r="H50" s="9">
        <f>F50*输入区!$B$12/12</f>
        <v>160549.51885391277</v>
      </c>
      <c r="I50" s="9">
        <f>MAX(0,IF(输入区!$B$15="全部生活成本",输入区!$E$24,输入区!$E$14)-IF(AND(输入区!$H$15&gt;=0,A50&gt;=输入区!$H$15),输入区!$E$6,0))</f>
        <v>9000</v>
      </c>
      <c r="J50" s="12">
        <f t="shared" si="6"/>
        <v>20.833838026043466</v>
      </c>
      <c r="K50" s="9">
        <f>ROUND(MAX(0,(I50-G50)*12/输入区!$B$12)*输入区!$B$13,0)</f>
        <v>0</v>
      </c>
      <c r="L50" s="9">
        <f t="shared" si="7"/>
        <v>0</v>
      </c>
      <c r="M50" s="1" t="str">
        <f t="shared" si="8"/>
        <v>自由</v>
      </c>
      <c r="N50" s="63">
        <f t="shared" si="9"/>
        <v>46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3">
        <v>46</v>
      </c>
      <c r="B51" s="13">
        <f>输入区!$B$5+A51</f>
        <v>85</v>
      </c>
      <c r="C51" s="9">
        <f t="shared" si="10"/>
        <v>48164855.656173833</v>
      </c>
      <c r="D51" s="9">
        <f>输入区!$B$7*12</f>
        <v>96000</v>
      </c>
      <c r="E51" s="9">
        <f>(C51+D51/2)*输入区!$B$11</f>
        <v>3857028.4524939065</v>
      </c>
      <c r="F51" s="9">
        <f t="shared" si="11"/>
        <v>52117884.108667739</v>
      </c>
      <c r="G51" s="9">
        <f>输入区!$B$8*(1+输入区!$B$16)^A51+输入区!$B$9+输入区!$B$10</f>
        <v>28302.774549502352</v>
      </c>
      <c r="H51" s="9">
        <f>F51*输入区!$B$12/12</f>
        <v>173726.28036222581</v>
      </c>
      <c r="I51" s="9">
        <f>MAX(0,IF(输入区!$B$15="全部生活成本",输入区!$E$24,输入区!$E$14)-IF(AND(输入区!$H$15&gt;=0,A51&gt;=输入区!$H$15),输入区!$E$6,0))</f>
        <v>9000</v>
      </c>
      <c r="J51" s="12">
        <f t="shared" si="6"/>
        <v>22.447672767969795</v>
      </c>
      <c r="K51" s="9">
        <f>ROUND(MAX(0,(I51-G51)*12/输入区!$B$12)*输入区!$B$13,0)</f>
        <v>0</v>
      </c>
      <c r="L51" s="9">
        <f t="shared" si="7"/>
        <v>0</v>
      </c>
      <c r="M51" s="1" t="str">
        <f t="shared" si="8"/>
        <v>自由</v>
      </c>
      <c r="N51" s="63">
        <f t="shared" si="9"/>
        <v>47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3">
        <v>47</v>
      </c>
      <c r="B52" s="13">
        <f>输入区!$B$5+A52</f>
        <v>86</v>
      </c>
      <c r="C52" s="9">
        <f t="shared" si="10"/>
        <v>52117884.108667739</v>
      </c>
      <c r="D52" s="9">
        <f>输入区!$B$7*12</f>
        <v>96000</v>
      </c>
      <c r="E52" s="9">
        <f>(C52+D52/2)*输入区!$B$11</f>
        <v>4173270.7286934191</v>
      </c>
      <c r="F52" s="9">
        <f t="shared" si="11"/>
        <v>56387154.837361157</v>
      </c>
      <c r="G52" s="9">
        <f>输入区!$B$8*(1+输入区!$B$16)^A52+输入区!$B$9+输入区!$B$10</f>
        <v>29717.913276977477</v>
      </c>
      <c r="H52" s="9">
        <f>F52*输入区!$B$12/12</f>
        <v>187957.18279120384</v>
      </c>
      <c r="I52" s="9">
        <f>MAX(0,IF(输入区!$B$15="全部生活成本",输入区!$E$24,输入区!$E$14)-IF(AND(输入区!$H$15&gt;=0,A52&gt;=输入区!$H$15),输入区!$E$6,0))</f>
        <v>9000</v>
      </c>
      <c r="J52" s="12">
        <f t="shared" si="6"/>
        <v>24.186121785353482</v>
      </c>
      <c r="K52" s="9">
        <f>ROUND(MAX(0,(I52-G52)*12/输入区!$B$12)*输入区!$B$13,0)</f>
        <v>0</v>
      </c>
      <c r="L52" s="9">
        <f t="shared" si="7"/>
        <v>0</v>
      </c>
      <c r="M52" s="1" t="str">
        <f t="shared" si="8"/>
        <v>自由</v>
      </c>
      <c r="N52" s="63">
        <f t="shared" si="9"/>
        <v>48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3">
        <v>48</v>
      </c>
      <c r="B53" s="13">
        <f>输入区!$B$5+A53</f>
        <v>87</v>
      </c>
      <c r="C53" s="9">
        <f t="shared" si="10"/>
        <v>56387154.837361157</v>
      </c>
      <c r="D53" s="9">
        <f>输入区!$B$7*12</f>
        <v>96000</v>
      </c>
      <c r="E53" s="9">
        <f>(C53+D53/2)*输入区!$B$11</f>
        <v>4514812.3869888922</v>
      </c>
      <c r="F53" s="9">
        <f t="shared" si="11"/>
        <v>60997967.22435005</v>
      </c>
      <c r="G53" s="9">
        <f>输入区!$B$8*(1+输入区!$B$16)^A53+输入区!$B$9+输入区!$B$10</f>
        <v>31203.808940826351</v>
      </c>
      <c r="H53" s="9">
        <f>F53*输入区!$B$12/12</f>
        <v>203326.55741450016</v>
      </c>
      <c r="I53" s="9">
        <f>MAX(0,IF(输入区!$B$15="全部生活成本",输入区!$E$24,输入区!$E$14)-IF(AND(输入区!$H$15&gt;=0,A53&gt;=输入区!$H$15),输入区!$E$6,0))</f>
        <v>9000</v>
      </c>
      <c r="J53" s="12">
        <f t="shared" si="6"/>
        <v>26.058929595036279</v>
      </c>
      <c r="K53" s="9">
        <f>ROUND(MAX(0,(I53-G53)*12/输入区!$B$12)*输入区!$B$13,0)</f>
        <v>0</v>
      </c>
      <c r="L53" s="9">
        <f t="shared" si="7"/>
        <v>0</v>
      </c>
      <c r="M53" s="1" t="str">
        <f t="shared" si="8"/>
        <v>自由</v>
      </c>
      <c r="N53" s="63">
        <f t="shared" si="9"/>
        <v>49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3">
        <v>49</v>
      </c>
      <c r="B54" s="13">
        <f>输入区!$B$5+A54</f>
        <v>88</v>
      </c>
      <c r="C54" s="9">
        <f t="shared" si="10"/>
        <v>60997967.22435005</v>
      </c>
      <c r="D54" s="9">
        <f>输入区!$B$7*12</f>
        <v>96000</v>
      </c>
      <c r="E54" s="9">
        <f>(C54+D54/2)*输入区!$B$11</f>
        <v>4883677.3779480038</v>
      </c>
      <c r="F54" s="9">
        <f t="shared" si="11"/>
        <v>65977644.602298051</v>
      </c>
      <c r="G54" s="9">
        <f>输入区!$B$8*(1+输入区!$B$16)^A54+输入区!$B$9+输入区!$B$10</f>
        <v>32763.999387867669</v>
      </c>
      <c r="H54" s="9">
        <f>F54*输入区!$B$12/12</f>
        <v>219925.48200766018</v>
      </c>
      <c r="I54" s="9">
        <f>MAX(0,IF(输入区!$B$15="全部生活成本",输入区!$E$24,输入区!$E$14)-IF(AND(输入区!$H$15&gt;=0,A54&gt;=输入区!$H$15),输入区!$E$6,0))</f>
        <v>9000</v>
      </c>
      <c r="J54" s="12">
        <f t="shared" si="6"/>
        <v>28.076609043947538</v>
      </c>
      <c r="K54" s="9">
        <f>ROUND(MAX(0,(I54-G54)*12/输入区!$B$12)*输入区!$B$13,0)</f>
        <v>0</v>
      </c>
      <c r="L54" s="9">
        <f t="shared" si="7"/>
        <v>0</v>
      </c>
      <c r="M54" s="1" t="str">
        <f t="shared" si="8"/>
        <v>自由</v>
      </c>
      <c r="N54" s="63">
        <f t="shared" si="9"/>
        <v>50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3">
        <v>50</v>
      </c>
      <c r="B55" s="13">
        <f>输入区!$B$5+A55</f>
        <v>89</v>
      </c>
      <c r="C55" s="9">
        <f t="shared" si="10"/>
        <v>65977644.602298051</v>
      </c>
      <c r="D55" s="9">
        <f>输入区!$B$7*12</f>
        <v>96000</v>
      </c>
      <c r="E55" s="9">
        <f>(C55+D55/2)*输入区!$B$11</f>
        <v>5282051.568183844</v>
      </c>
      <c r="F55" s="9">
        <f t="shared" si="11"/>
        <v>71355696.17048189</v>
      </c>
      <c r="G55" s="9">
        <f>输入区!$B$8*(1+输入区!$B$16)^A55+输入区!$B$9+输入区!$B$10</f>
        <v>34402.199357261052</v>
      </c>
      <c r="H55" s="9">
        <f>F55*输入区!$B$12/12</f>
        <v>237852.32056827296</v>
      </c>
      <c r="I55" s="9">
        <f>MAX(0,IF(输入区!$B$15="全部生活成本",输入区!$E$24,输入区!$E$14)-IF(AND(输入区!$H$15&gt;=0,A55&gt;=输入区!$H$15),输入区!$E$6,0))</f>
        <v>9000</v>
      </c>
      <c r="J55" s="12">
        <f t="shared" si="6"/>
        <v>30.250502213948224</v>
      </c>
      <c r="K55" s="9">
        <f>ROUND(MAX(0,(I55-G55)*12/输入区!$B$12)*输入区!$B$13,0)</f>
        <v>0</v>
      </c>
      <c r="L55" s="9">
        <f t="shared" si="7"/>
        <v>0</v>
      </c>
      <c r="M55" s="1" t="str">
        <f t="shared" si="8"/>
        <v>自由</v>
      </c>
      <c r="N55" s="63">
        <f t="shared" si="9"/>
        <v>51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3">
        <v>51</v>
      </c>
      <c r="B56" s="13">
        <f>输入区!$B$5+A56</f>
        <v>90</v>
      </c>
      <c r="C56" s="9">
        <f t="shared" si="10"/>
        <v>71355696.17048189</v>
      </c>
      <c r="D56" s="9">
        <f>输入区!$B$7*12</f>
        <v>96000</v>
      </c>
      <c r="E56" s="9">
        <f>(C56+D56/2)*输入区!$B$11</f>
        <v>5712295.693638551</v>
      </c>
      <c r="F56" s="9">
        <f t="shared" si="11"/>
        <v>77163991.864120439</v>
      </c>
      <c r="G56" s="9">
        <f>输入区!$B$8*(1+输入区!$B$16)^A56+输入区!$B$9+输入区!$B$10</f>
        <v>36122.309325124108</v>
      </c>
      <c r="H56" s="9">
        <f>F56*输入区!$B$12/12</f>
        <v>257213.30621373479</v>
      </c>
      <c r="I56" s="9">
        <f>MAX(0,IF(输入区!$B$15="全部生活成本",输入区!$E$24,输入区!$E$14)-IF(AND(输入区!$H$15&gt;=0,A56&gt;=输入区!$H$15),输入区!$E$6,0))</f>
        <v>9000</v>
      </c>
      <c r="J56" s="12">
        <f t="shared" si="6"/>
        <v>32.592846170984323</v>
      </c>
      <c r="K56" s="9">
        <f>ROUND(MAX(0,(I56-G56)*12/输入区!$B$12)*输入区!$B$13,0)</f>
        <v>0</v>
      </c>
      <c r="L56" s="9">
        <f t="shared" si="7"/>
        <v>0</v>
      </c>
      <c r="M56" s="1" t="str">
        <f t="shared" si="8"/>
        <v>自由</v>
      </c>
      <c r="N56" s="63">
        <f t="shared" si="9"/>
        <v>52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3">
        <v>52</v>
      </c>
      <c r="B57" s="13">
        <f>输入区!$B$5+A57</f>
        <v>91</v>
      </c>
      <c r="C57" s="9">
        <f t="shared" si="10"/>
        <v>77163991.864120439</v>
      </c>
      <c r="D57" s="9">
        <f>输入区!$B$7*12</f>
        <v>96000</v>
      </c>
      <c r="E57" s="9">
        <f>(C57+D57/2)*输入区!$B$11</f>
        <v>6176959.3491296349</v>
      </c>
      <c r="F57" s="9">
        <f t="shared" si="11"/>
        <v>83436951.213250071</v>
      </c>
      <c r="G57" s="9">
        <f>输入区!$B$8*(1+输入区!$B$16)^A57+输入区!$B$9+输入区!$B$10</f>
        <v>37928.424791380312</v>
      </c>
      <c r="H57" s="9">
        <f>F57*输入区!$B$12/12</f>
        <v>278123.17071083357</v>
      </c>
      <c r="I57" s="9">
        <f>MAX(0,IF(输入区!$B$15="全部生活成本",输入区!$E$24,输入区!$E$14)-IF(AND(输入区!$H$15&gt;=0,A57&gt;=输入区!$H$15),输入区!$E$6,0))</f>
        <v>9000</v>
      </c>
      <c r="J57" s="12">
        <f t="shared" si="6"/>
        <v>35.11684394469043</v>
      </c>
      <c r="K57" s="9">
        <f>ROUND(MAX(0,(I57-G57)*12/输入区!$B$12)*输入区!$B$13,0)</f>
        <v>0</v>
      </c>
      <c r="L57" s="9">
        <f t="shared" si="7"/>
        <v>0</v>
      </c>
      <c r="M57" s="1" t="str">
        <f t="shared" si="8"/>
        <v>自由</v>
      </c>
      <c r="N57" s="63">
        <f t="shared" si="9"/>
        <v>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3">
        <v>53</v>
      </c>
      <c r="B58" s="13">
        <f>输入区!$B$5+A58</f>
        <v>92</v>
      </c>
      <c r="C58" s="9">
        <f t="shared" si="10"/>
        <v>83436951.213250071</v>
      </c>
      <c r="D58" s="9">
        <f>输入区!$B$7*12</f>
        <v>96000</v>
      </c>
      <c r="E58" s="9">
        <f>(C58+D58/2)*输入区!$B$11</f>
        <v>6678796.0970600061</v>
      </c>
      <c r="F58" s="9">
        <f t="shared" si="11"/>
        <v>90211747.310310081</v>
      </c>
      <c r="G58" s="9">
        <f>输入区!$B$8*(1+输入区!$B$16)^A58+输入区!$B$9+输入区!$B$10</f>
        <v>39824.846030949324</v>
      </c>
      <c r="H58" s="9">
        <f>F58*输入区!$B$12/12</f>
        <v>300705.82436770026</v>
      </c>
      <c r="I58" s="9">
        <f>MAX(0,IF(输入区!$B$15="全部生活成本",输入区!$E$24,输入区!$E$14)-IF(AND(输入区!$H$15&gt;=0,A58&gt;=输入区!$H$15),输入区!$E$6,0))</f>
        <v>9000</v>
      </c>
      <c r="J58" s="12">
        <f t="shared" si="6"/>
        <v>37.836741155405512</v>
      </c>
      <c r="K58" s="9">
        <f>ROUND(MAX(0,(I58-G58)*12/输入区!$B$12)*输入区!$B$13,0)</f>
        <v>0</v>
      </c>
      <c r="L58" s="9">
        <f t="shared" si="7"/>
        <v>0</v>
      </c>
      <c r="M58" s="1" t="str">
        <f t="shared" si="8"/>
        <v>自由</v>
      </c>
      <c r="N58" s="63">
        <f t="shared" si="9"/>
        <v>54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3">
        <v>54</v>
      </c>
      <c r="B59" s="13">
        <f>输入区!$B$5+A59</f>
        <v>93</v>
      </c>
      <c r="C59" s="9">
        <f t="shared" si="10"/>
        <v>90211747.310310081</v>
      </c>
      <c r="D59" s="9">
        <f>输入区!$B$7*12</f>
        <v>96000</v>
      </c>
      <c r="E59" s="9">
        <f>(C59+D59/2)*输入区!$B$11</f>
        <v>7220779.7848248063</v>
      </c>
      <c r="F59" s="9">
        <f t="shared" si="11"/>
        <v>97528527.095134884</v>
      </c>
      <c r="G59" s="9">
        <f>输入区!$B$8*(1+输入区!$B$16)^A59+输入区!$B$9+输入区!$B$10</f>
        <v>41816.088332496787</v>
      </c>
      <c r="H59" s="9">
        <f>F59*输入区!$B$12/12</f>
        <v>325095.09031711629</v>
      </c>
      <c r="I59" s="9">
        <f>MAX(0,IF(输入区!$B$15="全部生活成本",输入区!$E$24,输入区!$E$14)-IF(AND(输入区!$H$15&gt;=0,A59&gt;=输入区!$H$15),输入区!$E$6,0))</f>
        <v>9000</v>
      </c>
      <c r="J59" s="12">
        <f t="shared" si="6"/>
        <v>40.767908738845897</v>
      </c>
      <c r="K59" s="9">
        <f>ROUND(MAX(0,(I59-G59)*12/输入区!$B$12)*输入区!$B$13,0)</f>
        <v>0</v>
      </c>
      <c r="L59" s="9">
        <f t="shared" si="7"/>
        <v>0</v>
      </c>
      <c r="M59" s="1" t="str">
        <f t="shared" si="8"/>
        <v>自由</v>
      </c>
      <c r="N59" s="63">
        <f t="shared" si="9"/>
        <v>55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3">
        <v>55</v>
      </c>
      <c r="B60" s="13">
        <f>输入区!$B$5+A60</f>
        <v>94</v>
      </c>
      <c r="C60" s="9">
        <f t="shared" si="10"/>
        <v>97528527.095134884</v>
      </c>
      <c r="D60" s="9">
        <f>输入区!$B$7*12</f>
        <v>96000</v>
      </c>
      <c r="E60" s="9">
        <f>(C60+D60/2)*输入区!$B$11</f>
        <v>7806122.1676107906</v>
      </c>
      <c r="F60" s="9">
        <f t="shared" si="11"/>
        <v>105430649.26274568</v>
      </c>
      <c r="G60" s="9">
        <f>输入区!$B$8*(1+输入区!$B$16)^A60+输入区!$B$9+输入区!$B$10</f>
        <v>43906.892749121638</v>
      </c>
      <c r="H60" s="9">
        <f>F60*输入区!$B$12/12</f>
        <v>351435.49754248559</v>
      </c>
      <c r="I60" s="9">
        <f>MAX(0,IF(输入区!$B$15="全部生活成本",输入区!$E$24,输入区!$E$14)-IF(AND(输入区!$H$15&gt;=0,A60&gt;=输入区!$H$15),输入区!$E$6,0))</f>
        <v>9000</v>
      </c>
      <c r="J60" s="12">
        <f t="shared" si="6"/>
        <v>43.926932254623026</v>
      </c>
      <c r="K60" s="9">
        <f>ROUND(MAX(0,(I60-G60)*12/输入区!$B$12)*输入区!$B$13,0)</f>
        <v>0</v>
      </c>
      <c r="L60" s="9">
        <f t="shared" si="7"/>
        <v>0</v>
      </c>
      <c r="M60" s="1" t="str">
        <f t="shared" si="8"/>
        <v>自由</v>
      </c>
      <c r="N60" s="63">
        <f t="shared" si="9"/>
        <v>56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3">
        <v>56</v>
      </c>
      <c r="B61" s="13">
        <f>输入区!$B$5+A61</f>
        <v>95</v>
      </c>
      <c r="C61" s="9">
        <f t="shared" si="10"/>
        <v>105430649.26274568</v>
      </c>
      <c r="D61" s="9">
        <f>输入区!$B$7*12</f>
        <v>96000</v>
      </c>
      <c r="E61" s="9">
        <f>(C61+D61/2)*输入区!$B$11</f>
        <v>8438291.9410196543</v>
      </c>
      <c r="F61" s="9">
        <f t="shared" si="11"/>
        <v>113964941.20376533</v>
      </c>
      <c r="G61" s="9">
        <f>输入区!$B$8*(1+输入区!$B$16)^A61+输入区!$B$9+输入区!$B$10</f>
        <v>46102.237386577712</v>
      </c>
      <c r="H61" s="9">
        <f>F61*输入区!$B$12/12</f>
        <v>379883.13734588446</v>
      </c>
      <c r="I61" s="9">
        <f>MAX(0,IF(输入区!$B$15="全部生活成本",输入区!$E$24,输入区!$E$14)-IF(AND(输入区!$H$15&gt;=0,A61&gt;=输入区!$H$15),输入区!$E$6,0))</f>
        <v>9000</v>
      </c>
      <c r="J61" s="12">
        <f t="shared" si="6"/>
        <v>47.331708303606909</v>
      </c>
      <c r="K61" s="9">
        <f>ROUND(MAX(0,(I61-G61)*12/输入区!$B$12)*输入区!$B$13,0)</f>
        <v>0</v>
      </c>
      <c r="L61" s="9">
        <f t="shared" si="7"/>
        <v>0</v>
      </c>
      <c r="M61" s="1" t="str">
        <f t="shared" si="8"/>
        <v>自由</v>
      </c>
      <c r="N61" s="63">
        <f t="shared" si="9"/>
        <v>57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3">
        <v>57</v>
      </c>
      <c r="B62" s="13">
        <f>输入区!$B$5+A62</f>
        <v>96</v>
      </c>
      <c r="C62" s="9">
        <f t="shared" si="10"/>
        <v>113964941.20376533</v>
      </c>
      <c r="D62" s="9">
        <f>输入区!$B$7*12</f>
        <v>96000</v>
      </c>
      <c r="E62" s="9">
        <f>(C62+D62/2)*输入区!$B$11</f>
        <v>9121035.2963012271</v>
      </c>
      <c r="F62" s="9">
        <f t="shared" si="11"/>
        <v>123181976.50006656</v>
      </c>
      <c r="G62" s="9">
        <f>输入区!$B$8*(1+输入区!$B$16)^A62+输入区!$B$9+输入区!$B$10</f>
        <v>48407.3492559066</v>
      </c>
      <c r="H62" s="9">
        <f>F62*输入区!$B$12/12</f>
        <v>410606.58833355521</v>
      </c>
      <c r="I62" s="9">
        <f>MAX(0,IF(输入区!$B$15="全部生活成本",输入区!$E$24,输入区!$E$14)-IF(AND(输入区!$H$15&gt;=0,A62&gt;=输入区!$H$15),输入区!$E$6,0))</f>
        <v>9000</v>
      </c>
      <c r="J62" s="12">
        <f t="shared" si="6"/>
        <v>51.001548621051313</v>
      </c>
      <c r="K62" s="9">
        <f>ROUND(MAX(0,(I62-G62)*12/输入区!$B$12)*输入区!$B$13,0)</f>
        <v>0</v>
      </c>
      <c r="L62" s="9">
        <f t="shared" si="7"/>
        <v>0</v>
      </c>
      <c r="M62" s="1" t="str">
        <f t="shared" si="8"/>
        <v>自由</v>
      </c>
      <c r="N62" s="63">
        <f t="shared" si="9"/>
        <v>58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3">
        <v>58</v>
      </c>
      <c r="B63" s="13">
        <f>输入区!$B$5+A63</f>
        <v>97</v>
      </c>
      <c r="C63" s="9">
        <f t="shared" si="10"/>
        <v>123181976.50006656</v>
      </c>
      <c r="D63" s="9">
        <f>输入区!$B$7*12</f>
        <v>96000</v>
      </c>
      <c r="E63" s="9">
        <f>(C63+D63/2)*输入区!$B$11</f>
        <v>9858398.1200053245</v>
      </c>
      <c r="F63" s="9">
        <f t="shared" si="11"/>
        <v>133136374.62007189</v>
      </c>
      <c r="G63" s="9">
        <f>输入区!$B$8*(1+输入区!$B$16)^A63+输入区!$B$9+输入区!$B$10</f>
        <v>50827.716718701937</v>
      </c>
      <c r="H63" s="9">
        <f>F63*输入区!$B$12/12</f>
        <v>443787.91540023964</v>
      </c>
      <c r="I63" s="9">
        <f>MAX(0,IF(输入区!$B$15="全部生活成本",输入区!$E$24,输入区!$E$14)-IF(AND(输入区!$H$15&gt;=0,A63&gt;=输入区!$H$15),输入区!$E$6,0))</f>
        <v>9000</v>
      </c>
      <c r="J63" s="12">
        <f t="shared" si="6"/>
        <v>54.957292457660174</v>
      </c>
      <c r="K63" s="9">
        <f>ROUND(MAX(0,(I63-G63)*12/输入区!$B$12)*输入区!$B$13,0)</f>
        <v>0</v>
      </c>
      <c r="L63" s="9">
        <f t="shared" si="7"/>
        <v>0</v>
      </c>
      <c r="M63" s="1" t="str">
        <f t="shared" si="8"/>
        <v>自由</v>
      </c>
      <c r="N63" s="63">
        <f t="shared" si="9"/>
        <v>59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3">
        <v>59</v>
      </c>
      <c r="B64" s="13">
        <f>输入区!$B$5+A64</f>
        <v>98</v>
      </c>
      <c r="C64" s="9">
        <f t="shared" si="10"/>
        <v>133136374.62007189</v>
      </c>
      <c r="D64" s="9">
        <f>输入区!$B$7*12</f>
        <v>96000</v>
      </c>
      <c r="E64" s="9">
        <f>(C64+D64/2)*输入区!$B$11</f>
        <v>10654749.969605751</v>
      </c>
      <c r="F64" s="9">
        <f t="shared" si="11"/>
        <v>143887124.58967763</v>
      </c>
      <c r="G64" s="9">
        <f>输入区!$B$8*(1+输入区!$B$16)^A64+输入区!$B$9+输入区!$B$10</f>
        <v>53369.102554637037</v>
      </c>
      <c r="H64" s="9">
        <f>F64*输入区!$B$12/12</f>
        <v>479623.74863225879</v>
      </c>
      <c r="I64" s="9">
        <f>MAX(0,IF(输入区!$B$15="全部生活成本",输入区!$E$24,输入区!$E$14)-IF(AND(输入区!$H$15&gt;=0,A64&gt;=输入区!$H$15),输入区!$E$6,0))</f>
        <v>9000</v>
      </c>
      <c r="J64" s="12">
        <f t="shared" si="6"/>
        <v>59.221427909655098</v>
      </c>
      <c r="K64" s="9">
        <f>ROUND(MAX(0,(I64-G64)*12/输入区!$B$12)*输入区!$B$13,0)</f>
        <v>0</v>
      </c>
      <c r="L64" s="9">
        <f t="shared" si="7"/>
        <v>0</v>
      </c>
      <c r="M64" s="1" t="str">
        <f t="shared" si="8"/>
        <v>自由</v>
      </c>
      <c r="N64" s="63">
        <f t="shared" si="9"/>
        <v>60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3">
        <v>60</v>
      </c>
      <c r="B65" s="13">
        <f>输入区!$B$5+A65</f>
        <v>99</v>
      </c>
      <c r="C65" s="9">
        <f t="shared" si="10"/>
        <v>143887124.58967763</v>
      </c>
      <c r="D65" s="9">
        <f>输入区!$B$7*12</f>
        <v>96000</v>
      </c>
      <c r="E65" s="9">
        <f>(C65+D65/2)*输入区!$B$11</f>
        <v>11514809.967174212</v>
      </c>
      <c r="F65" s="9">
        <f t="shared" si="11"/>
        <v>155497934.55685183</v>
      </c>
      <c r="G65" s="9">
        <f>输入区!$B$8*(1+输入区!$B$16)^A65+输入区!$B$9+输入区!$B$10</f>
        <v>56037.557682368875</v>
      </c>
      <c r="H65" s="9">
        <f>F65*输入区!$B$12/12</f>
        <v>518326.44852283946</v>
      </c>
      <c r="I65" s="9">
        <f>MAX(0,IF(输入区!$B$15="全部生活成本",输入区!$E$24,输入区!$E$14)-IF(AND(输入区!$H$15&gt;=0,A65&gt;=输入区!$H$15),输入区!$E$6,0))</f>
        <v>9000</v>
      </c>
      <c r="J65" s="12">
        <f t="shared" si="6"/>
        <v>63.818222911689816</v>
      </c>
      <c r="K65" s="9">
        <f>ROUND(MAX(0,(I65-G65)*12/输入区!$B$12)*输入区!$B$13,0)</f>
        <v>0</v>
      </c>
      <c r="L65" s="9">
        <f t="shared" si="7"/>
        <v>0</v>
      </c>
      <c r="M65" s="1" t="str">
        <f t="shared" si="8"/>
        <v>自由</v>
      </c>
      <c r="N65" s="63">
        <f t="shared" si="9"/>
        <v>61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2">
    <mergeCell ref="A1:M1"/>
    <mergeCell ref="A2:M2"/>
  </mergeCells>
  <phoneticPr fontId="17" type="noConversion"/>
  <conditionalFormatting sqref="J5:J35">
    <cfRule type="dataBar" priority="1">
      <dataBar>
        <cfvo type="min"/>
        <cfvo type="max"/>
        <color rgb="FF2F6B4F"/>
      </dataBar>
    </cfRule>
    <cfRule type="dataBar" priority="3">
      <dataBar>
        <cfvo type="min"/>
        <cfvo type="max"/>
        <color rgb="FF2F6B4F"/>
      </dataBar>
      <extLst>
        <ext xmlns:x14="http://schemas.microsoft.com/office/spreadsheetml/2009/9/main" uri="{B025F937-C7B1-47D3-B67F-A62EFF666E3E}">
          <x14:id>{E88FAF9C-FBA1-D484-84F4-79FB6564FB97}</x14:id>
        </ext>
      </extLst>
    </cfRule>
  </conditionalFormatting>
  <conditionalFormatting sqref="L5:L35">
    <cfRule type="dataBar" priority="2">
      <dataBar>
        <cfvo type="min"/>
        <cfvo type="max"/>
        <color rgb="FFF4B183"/>
      </dataBar>
    </cfRule>
    <cfRule type="dataBar" priority="4">
      <dataBar>
        <cfvo type="min"/>
        <cfvo type="max"/>
        <color rgb="FFF4B183"/>
      </dataBar>
      <extLst>
        <ext xmlns:x14="http://schemas.microsoft.com/office/spreadsheetml/2009/9/main" uri="{B025F937-C7B1-47D3-B67F-A62EFF666E3E}">
          <x14:id>{26850673-90B3-201B-B529-9B4D85FBAA62}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8FAF9C-FBA1-D484-84F4-79FB6564FB97}">
            <x14:dataBar>
              <x14:cfvo type="min"/>
              <x14:cfvo type="max"/>
              <x14:negativeFillColor auto="1"/>
              <x14:axisColor auto="1"/>
            </x14:dataBar>
          </x14:cfRule>
          <xm:sqref>J5:J35</xm:sqref>
        </x14:conditionalFormatting>
        <x14:conditionalFormatting xmlns:xm="http://schemas.microsoft.com/office/excel/2006/main">
          <x14:cfRule type="dataBar" id="{26850673-90B3-201B-B529-9B4D85FBAA62}">
            <x14:dataBar>
              <x14:cfvo type="min"/>
              <x14:cfvo type="max"/>
              <x14:negativeFillColor auto="1"/>
              <x14:axisColor auto="1"/>
            </x14:dataBar>
          </x14:cfRule>
          <xm:sqref>L5:L35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200"/>
  <sheetViews>
    <sheetView workbookViewId="0"/>
  </sheetViews>
  <sheetFormatPr defaultRowHeight="14.25"/>
  <cols>
    <col min="1" max="2" width="14" customWidth="1"/>
    <col min="3" max="4" width="12" customWidth="1"/>
    <col min="5" max="5" width="14" customWidth="1"/>
    <col min="6" max="6" width="16" customWidth="1"/>
    <col min="7" max="7" width="10" customWidth="1"/>
    <col min="8" max="9" width="16" customWidth="1"/>
    <col min="10" max="10" width="14" customWidth="1"/>
    <col min="11" max="11" width="12" customWidth="1"/>
  </cols>
  <sheetData>
    <row r="1" spans="1:26" ht="32.1" customHeight="1">
      <c r="A1" s="64" t="s">
        <v>147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.950000000000003" customHeight="1">
      <c r="A2" s="66" t="s">
        <v>148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38" t="s">
        <v>149</v>
      </c>
      <c r="B4" s="38" t="s">
        <v>142</v>
      </c>
      <c r="C4" s="38" t="s">
        <v>150</v>
      </c>
      <c r="D4" s="38" t="s">
        <v>57</v>
      </c>
      <c r="E4" s="38" t="s">
        <v>151</v>
      </c>
      <c r="F4" s="38" t="s">
        <v>115</v>
      </c>
      <c r="G4" s="38" t="s">
        <v>152</v>
      </c>
      <c r="H4" s="38" t="s">
        <v>116</v>
      </c>
      <c r="I4" s="38" t="s">
        <v>144</v>
      </c>
      <c r="J4" s="38" t="s">
        <v>100</v>
      </c>
      <c r="K4" s="38" t="s">
        <v>153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40" t="s">
        <v>154</v>
      </c>
      <c r="B5" s="45">
        <f>结果仪表盘!$B$5*1.1</f>
        <v>13200.000000000002</v>
      </c>
      <c r="C5" s="46">
        <v>0.05</v>
      </c>
      <c r="D5" s="46">
        <v>3.5000000000000003E-2</v>
      </c>
      <c r="E5" s="47">
        <f>输入区!$B$7</f>
        <v>8000</v>
      </c>
      <c r="F5" s="47">
        <f>结果仪表盘!$B$11</f>
        <v>3000</v>
      </c>
      <c r="G5" s="49">
        <v>1.25</v>
      </c>
      <c r="H5" s="45">
        <f>ROUND(MAX(0,(B5-F5)*12/D5)*G5,0)</f>
        <v>4371429</v>
      </c>
      <c r="I5" s="45">
        <f>MAX(H5-结果仪表盘!$B$9,0)</f>
        <v>4071429</v>
      </c>
      <c r="J5" s="48">
        <f>IF(I5&lt;=0,0,IF(E5&lt;=0,IF(AND(结果仪表盘!$B$9&gt;0,C5&gt;0),LN(H5/结果仪表盘!$B$9)/LN(1+C5),"无法估算"),IFERROR(NPER(POWER(1+C5,1/12)-1,-E5,-结果仪表盘!$B$9,H5)/12,"无法估算")))</f>
        <v>21.093071129763853</v>
      </c>
      <c r="K5" s="48">
        <f>IF(ISNUMBER(J5),输入区!$B$5+J5,"超过30年")</f>
        <v>60.093071129763857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40" t="s">
        <v>155</v>
      </c>
      <c r="B6" s="45">
        <f>结果仪表盘!$B$5</f>
        <v>12000</v>
      </c>
      <c r="C6" s="46">
        <f>输入区!$B$11</f>
        <v>0.08</v>
      </c>
      <c r="D6" s="46">
        <f>输入区!$B$12</f>
        <v>0.04</v>
      </c>
      <c r="E6" s="47">
        <f>输入区!$B$7</f>
        <v>8000</v>
      </c>
      <c r="F6" s="47">
        <f>结果仪表盘!$B$11</f>
        <v>3000</v>
      </c>
      <c r="G6" s="49">
        <f>输入区!$B$13</f>
        <v>1.1499999999999999</v>
      </c>
      <c r="H6" s="45">
        <f>ROUND(MAX(0,(B6-F6)*12/D6)*G6,0)</f>
        <v>3105000</v>
      </c>
      <c r="I6" s="45">
        <f>MAX(H6-结果仪表盘!$B$9,0)</f>
        <v>2805000</v>
      </c>
      <c r="J6" s="48">
        <f>IF(I6&lt;=0,0,IF(E6&lt;=0,IF(AND(结果仪表盘!$B$9&gt;0,C6&gt;0),LN(H6/结果仪表盘!$B$9)/LN(1+C6),"无法估算"),IFERROR(NPER(POWER(1+C6,1/12)-1,-E6,-结果仪表盘!$B$9,H6)/12,"无法估算")))</f>
        <v>13.459081576751684</v>
      </c>
      <c r="K6" s="48">
        <f>IF(ISNUMBER(J6),输入区!$B$5+J6,"超过30年")</f>
        <v>52.459081576751686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40" t="s">
        <v>156</v>
      </c>
      <c r="B7" s="45">
        <f>结果仪表盘!$B$5</f>
        <v>12000</v>
      </c>
      <c r="C7" s="46">
        <v>0.1</v>
      </c>
      <c r="D7" s="46">
        <v>4.4999999999999998E-2</v>
      </c>
      <c r="E7" s="47">
        <f>输入区!$B$7*1.2</f>
        <v>9600</v>
      </c>
      <c r="F7" s="47">
        <f>结果仪表盘!$B$11*1.2</f>
        <v>3600</v>
      </c>
      <c r="G7" s="49">
        <v>1.1000000000000001</v>
      </c>
      <c r="H7" s="45">
        <f>ROUND(MAX(0,(B7-F7)*12/D7)*G7,0)</f>
        <v>2464000</v>
      </c>
      <c r="I7" s="45">
        <f>MAX(H7-结果仪表盘!$B$9,0)</f>
        <v>2164000</v>
      </c>
      <c r="J7" s="48">
        <f>IF(I7&lt;=0,0,IF(E7&lt;=0,IF(AND(结果仪表盘!$B$9&gt;0,C7&gt;0),LN(H7/结果仪表盘!$B$9)/LN(1+C7),"无法估算"),IFERROR(NPER(POWER(1+C7,1/12)-1,-E7,-结果仪表盘!$B$9,H7)/12,"无法估算")))</f>
        <v>9.354309139583096</v>
      </c>
      <c r="K7" s="48">
        <f>IF(ISNUMBER(J7),输入区!$B$5+J7,"超过30年")</f>
        <v>48.354309139583094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40" t="s">
        <v>157</v>
      </c>
      <c r="B8" s="45">
        <f>结果仪表盘!$B$5*0.85</f>
        <v>10200</v>
      </c>
      <c r="C8" s="46">
        <f>输入区!$B$11</f>
        <v>0.08</v>
      </c>
      <c r="D8" s="46">
        <f>输入区!$B$12</f>
        <v>0.04</v>
      </c>
      <c r="E8" s="47">
        <f>输入区!$B$7</f>
        <v>8000</v>
      </c>
      <c r="F8" s="47">
        <f>结果仪表盘!$B$11</f>
        <v>3000</v>
      </c>
      <c r="G8" s="49">
        <v>1.1000000000000001</v>
      </c>
      <c r="H8" s="45">
        <f>ROUND(MAX(0,(B8-F8)*12/D8)*G8,0)</f>
        <v>2376000</v>
      </c>
      <c r="I8" s="45">
        <f>MAX(H8-结果仪表盘!$B$9,0)</f>
        <v>2076000</v>
      </c>
      <c r="J8" s="48">
        <f>IF(I8&lt;=0,0,IF(E8&lt;=0,IF(AND(结果仪表盘!$B$9&gt;0,C8&gt;0),LN(H8/结果仪表盘!$B$9)/LN(1+C8),"无法估算"),IFERROR(NPER(POWER(1+C8,1/12)-1,-E8,-结果仪表盘!$B$9,H8)/12,"无法估算")))</f>
        <v>11.074755452650153</v>
      </c>
      <c r="K8" s="48">
        <f>IF(ISNUMBER(J8),输入区!$B$5+J8,"超过30年")</f>
        <v>50.074755452650152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>
      <c r="A9" s="40" t="s">
        <v>158</v>
      </c>
      <c r="B9" s="45">
        <f>结果仪表盘!$B$5</f>
        <v>12000</v>
      </c>
      <c r="C9" s="46">
        <f>输入区!$B$11</f>
        <v>0.08</v>
      </c>
      <c r="D9" s="46">
        <f>输入区!$B$12</f>
        <v>0.04</v>
      </c>
      <c r="E9" s="47">
        <f>输入区!$B$7</f>
        <v>8000</v>
      </c>
      <c r="F9" s="47">
        <f>结果仪表盘!$B$11+3000</f>
        <v>6000</v>
      </c>
      <c r="G9" s="49">
        <f>输入区!$B$13</f>
        <v>1.1499999999999999</v>
      </c>
      <c r="H9" s="45">
        <f>ROUND(MAX(0,(B9-F9)*12/D9)*G9,0)</f>
        <v>2070000</v>
      </c>
      <c r="I9" s="45">
        <f>MAX(H9-结果仪表盘!$B$9,0)</f>
        <v>1770000</v>
      </c>
      <c r="J9" s="48">
        <f>IF(I9&lt;=0,0,IF(E9&lt;=0,IF(AND(结果仪表盘!$B$9&gt;0,C9&gt;0),LN(H9/结果仪表盘!$B$9)/LN(1+C9),"无法估算"),IFERROR(NPER(POWER(1+C9,1/12)-1,-E9,-结果仪表盘!$B$9,H9)/12,"无法估算")))</f>
        <v>9.9269837739691305</v>
      </c>
      <c r="K9" s="48">
        <f>IF(ISNUMBER(J9),输入区!$B$5+J9,"超过30年")</f>
        <v>48.926983773969127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2">
    <mergeCell ref="A1:K1"/>
    <mergeCell ref="A2:K2"/>
  </mergeCells>
  <phoneticPr fontId="17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200"/>
  <sheetViews>
    <sheetView workbookViewId="0"/>
  </sheetViews>
  <sheetFormatPr defaultRowHeight="14.25"/>
  <cols>
    <col min="1" max="1" width="16" customWidth="1"/>
    <col min="2" max="2" width="10" customWidth="1"/>
    <col min="3" max="3" width="14" customWidth="1"/>
    <col min="4" max="4" width="10" customWidth="1"/>
    <col min="5" max="5" width="34" customWidth="1"/>
    <col min="6" max="6" width="44" customWidth="1"/>
  </cols>
  <sheetData>
    <row r="1" spans="1:26" ht="32.1" customHeight="1">
      <c r="A1" s="64" t="s">
        <v>159</v>
      </c>
      <c r="B1" s="65"/>
      <c r="C1" s="65"/>
      <c r="D1" s="65"/>
      <c r="E1" s="65"/>
      <c r="F1" s="65"/>
      <c r="G1" s="65"/>
      <c r="H1" s="6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66" t="s">
        <v>160</v>
      </c>
      <c r="B2" s="65"/>
      <c r="C2" s="65"/>
      <c r="D2" s="65"/>
      <c r="E2" s="65"/>
      <c r="F2" s="65"/>
      <c r="G2" s="65"/>
      <c r="H2" s="6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2" t="s">
        <v>161</v>
      </c>
      <c r="B4" s="2" t="s">
        <v>162</v>
      </c>
      <c r="C4" s="2" t="s">
        <v>163</v>
      </c>
      <c r="D4" s="2" t="s">
        <v>164</v>
      </c>
      <c r="E4" s="2" t="s">
        <v>165</v>
      </c>
      <c r="F4" s="2" t="s">
        <v>166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3">
      <c r="A5" s="39" t="s">
        <v>167</v>
      </c>
      <c r="B5" s="50">
        <v>20</v>
      </c>
      <c r="C5" s="51">
        <f>结果仪表盘!$B$17</f>
        <v>0.83333333333333337</v>
      </c>
      <c r="D5" s="52">
        <f>MIN(C5,1)*B5</f>
        <v>16.666666666666668</v>
      </c>
      <c r="E5" s="43" t="s">
        <v>168</v>
      </c>
      <c r="F5" s="43" t="str">
        <f>IF(C5&gt;=1,"安全垫达标，可以把新增现金流更多投向长期资产。","优先补足应急金，至少覆盖基本生活成本的目标月数。")</f>
        <v>优先补足应急金，至少覆盖基本生活成本的目标月数。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39" t="s">
        <v>169</v>
      </c>
      <c r="B6" s="50">
        <v>20</v>
      </c>
      <c r="C6" s="51">
        <f>结果仪表盘!$B$18</f>
        <v>0.32</v>
      </c>
      <c r="D6" s="52">
        <f>MIN(C6/0.3,1)*B6</f>
        <v>20</v>
      </c>
      <c r="E6" s="43" t="s">
        <v>170</v>
      </c>
      <c r="F6" s="43" t="str">
        <f>IF(C6&gt;=0.3,"储蓄率较好，保持先存后花。","检查弹性支出和伪刚需，提高每月可投入金额。")</f>
        <v>储蓄率较好，保持先存后花。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3">
      <c r="A7" s="39" t="s">
        <v>89</v>
      </c>
      <c r="B7" s="50">
        <v>20</v>
      </c>
      <c r="C7" s="51">
        <f>结果仪表盘!$B$13</f>
        <v>0.33333333333333331</v>
      </c>
      <c r="D7" s="52">
        <f>MIN(C7,1)*B7</f>
        <v>6.6666666666666661</v>
      </c>
      <c r="E7" s="43" t="s">
        <v>171</v>
      </c>
      <c r="F7" s="43" t="str">
        <f>IF(C7&gt;=1,"生活成本已被覆盖，重点转向守纪律和生活设计。","继续提高投资资产和可持续收入。")</f>
        <v>继续提高投资资产和可持续收入。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39" t="s">
        <v>172</v>
      </c>
      <c r="B8" s="50">
        <v>15</v>
      </c>
      <c r="C8" s="51">
        <f>IFERROR(结果仪表盘!$B$11/(输入区!$B$6+结果仪表盘!$B$11),0)</f>
        <v>0.10714285714285714</v>
      </c>
      <c r="D8" s="52">
        <f>MIN(C8/0.3,1)*B8</f>
        <v>5.3571428571428577</v>
      </c>
      <c r="E8" s="43" t="s">
        <v>173</v>
      </c>
      <c r="F8" s="43" t="str">
        <f>IF(C8&gt;=0.3,"收入结构开始立体化。","继续建设产品型、副业型、可复制收入。")</f>
        <v>继续建设产品型、副业型、可复制收入。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>
      <c r="A9" s="39" t="s">
        <v>174</v>
      </c>
      <c r="B9" s="50">
        <v>15</v>
      </c>
      <c r="C9" s="51">
        <f>IFERROR(输入区!$H$19/输入区!$H$11,0)</f>
        <v>0</v>
      </c>
      <c r="D9" s="52">
        <f>MAX(0,(1-MIN(C9/0.5,1))*B9)</f>
        <v>15</v>
      </c>
      <c r="E9" s="43" t="s">
        <v>175</v>
      </c>
      <c r="F9" s="43" t="str">
        <f>IF(C9&lt;=0.1,"债务压力较低。","优先处理高息债务，避免投资收益被利息吞掉。")</f>
        <v>债务压力较低。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39" t="s">
        <v>176</v>
      </c>
      <c r="B10" s="50">
        <v>10</v>
      </c>
      <c r="C10" s="51">
        <f>输入区!$B$17/5</f>
        <v>0.6</v>
      </c>
      <c r="D10" s="52">
        <f>C10*B10</f>
        <v>6</v>
      </c>
      <c r="E10" s="43" t="s">
        <v>177</v>
      </c>
      <c r="F10" s="43" t="str">
        <f>IF(C10&gt;=0.8,"节奏状态较好，适合长期执行。","降低过载强度，保护健康、家庭和情绪稳定。")</f>
        <v>降低过载强度，保护健康、家庭和情绪稳定。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>
      <c r="A11" s="39" t="s">
        <v>178</v>
      </c>
      <c r="B11" s="50">
        <v>100</v>
      </c>
      <c r="C11" s="53"/>
      <c r="D11" s="54">
        <f>SUM(D5:D10)</f>
        <v>69.69047619047619</v>
      </c>
      <c r="E11" s="43"/>
      <c r="F11" s="43" t="str">
        <f>IF(D11&gt;=85,"系统健康度较高。保持长期主义，年度复盘即可。",IF(D11&gt;=70,"系统进入正轨，重点补齐短板。",IF(D11&gt;=50,"已有基础，但还需要提高储蓄率和覆盖率。","先打地基：记账、节流、应急金、稳定现金流。")))</f>
        <v>已有基础，但还需要提高储蓄率和覆盖率。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79" t="s">
        <v>179</v>
      </c>
      <c r="B14" s="65"/>
      <c r="C14" s="65"/>
      <c r="D14" s="65"/>
      <c r="E14" s="65"/>
      <c r="F14" s="65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.95" customHeight="1">
      <c r="A15" s="10" t="s">
        <v>180</v>
      </c>
      <c r="B15" s="80" t="s">
        <v>181</v>
      </c>
      <c r="C15" s="65"/>
      <c r="D15" s="65"/>
      <c r="E15" s="65"/>
      <c r="F15" s="65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7.95" customHeight="1">
      <c r="A16" s="10" t="s">
        <v>182</v>
      </c>
      <c r="B16" s="80" t="s">
        <v>183</v>
      </c>
      <c r="C16" s="65"/>
      <c r="D16" s="65"/>
      <c r="E16" s="65"/>
      <c r="F16" s="65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.95" customHeight="1">
      <c r="A17" s="10" t="s">
        <v>184</v>
      </c>
      <c r="B17" s="80" t="s">
        <v>185</v>
      </c>
      <c r="C17" s="65"/>
      <c r="D17" s="65"/>
      <c r="E17" s="65"/>
      <c r="F17" s="65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7.95" customHeight="1">
      <c r="A18" s="10" t="s">
        <v>186</v>
      </c>
      <c r="B18" s="80" t="s">
        <v>187</v>
      </c>
      <c r="C18" s="65"/>
      <c r="D18" s="65"/>
      <c r="E18" s="65"/>
      <c r="F18" s="65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7">
    <mergeCell ref="B17:F17"/>
    <mergeCell ref="B18:F18"/>
    <mergeCell ref="A1:H1"/>
    <mergeCell ref="A2:H2"/>
    <mergeCell ref="A14:F14"/>
    <mergeCell ref="B15:F15"/>
    <mergeCell ref="B16:F16"/>
  </mergeCells>
  <phoneticPr fontId="17" type="noConversion"/>
  <conditionalFormatting sqref="D5:D10">
    <cfRule type="dataBar" priority="1">
      <dataBar>
        <cfvo type="min"/>
        <cfvo type="max"/>
        <color rgb="FF2F6B4F"/>
      </dataBar>
    </cfRule>
    <cfRule type="dataBar" priority="3">
      <dataBar>
        <cfvo type="min"/>
        <cfvo type="max"/>
        <color rgb="FF2F6B4F"/>
      </dataBar>
      <extLst>
        <ext xmlns:x14="http://schemas.microsoft.com/office/spreadsheetml/2009/9/main" uri="{B025F937-C7B1-47D3-B67F-A62EFF666E3E}">
          <x14:id>{6A168E51-1F21-F7A9-2FB5-62DBC690525D}</x14:id>
        </ext>
      </extLst>
    </cfRule>
  </conditionalFormatting>
  <conditionalFormatting sqref="D11">
    <cfRule type="colorScale" priority="2">
      <colorScale>
        <cfvo type="min"/>
        <cfvo type="percentile" val="50"/>
        <cfvo type="max"/>
        <color rgb="FFF8CBAD"/>
        <color rgb="FFFFE699"/>
        <color rgb="FFC6E0B4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A168E51-1F21-F7A9-2FB5-62DBC690525D}">
            <x14:dataBar>
              <x14:cfvo type="min"/>
              <x14:cfvo type="max"/>
              <x14:negativeFillColor auto="1"/>
              <x14:axisColor auto="1"/>
            </x14:dataBar>
          </x14:cfRule>
          <xm:sqref>D5:D10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200"/>
  <sheetViews>
    <sheetView workbookViewId="0"/>
  </sheetViews>
  <sheetFormatPr defaultRowHeight="14.25"/>
  <cols>
    <col min="1" max="1" width="20" customWidth="1"/>
    <col min="2" max="2" width="34" customWidth="1"/>
    <col min="3" max="3" width="24" customWidth="1"/>
    <col min="4" max="4" width="56" customWidth="1"/>
    <col min="5" max="8" width="8" customWidth="1"/>
  </cols>
  <sheetData>
    <row r="1" spans="1:26" ht="32.1" customHeight="1">
      <c r="A1" s="64" t="s">
        <v>188</v>
      </c>
      <c r="B1" s="65"/>
      <c r="C1" s="65"/>
      <c r="D1" s="65"/>
      <c r="E1" s="65"/>
      <c r="F1" s="65"/>
      <c r="G1" s="65"/>
      <c r="H1" s="6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" customHeight="1">
      <c r="A3" s="38" t="s">
        <v>189</v>
      </c>
      <c r="B3" s="38" t="s">
        <v>190</v>
      </c>
      <c r="C3" s="38" t="s">
        <v>191</v>
      </c>
      <c r="D3" s="38" t="s">
        <v>192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3">
      <c r="A4" s="39" t="s">
        <v>32</v>
      </c>
      <c r="B4" s="24" t="s">
        <v>193</v>
      </c>
      <c r="C4" s="24" t="s">
        <v>194</v>
      </c>
      <c r="D4" s="24" t="s">
        <v>195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39" t="s">
        <v>83</v>
      </c>
      <c r="B5" s="24" t="s">
        <v>196</v>
      </c>
      <c r="C5" s="24" t="s">
        <v>197</v>
      </c>
      <c r="D5" s="24" t="s">
        <v>198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3">
      <c r="A6" s="39" t="s">
        <v>51</v>
      </c>
      <c r="B6" s="24" t="s">
        <v>199</v>
      </c>
      <c r="C6" s="24" t="s">
        <v>200</v>
      </c>
      <c r="D6" s="24" t="s">
        <v>201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>
      <c r="A7" s="39" t="s">
        <v>115</v>
      </c>
      <c r="B7" s="24" t="s">
        <v>202</v>
      </c>
      <c r="C7" s="24" t="s">
        <v>203</v>
      </c>
      <c r="D7" s="24" t="s">
        <v>204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>
      <c r="A8" s="39" t="s">
        <v>205</v>
      </c>
      <c r="B8" s="24" t="s">
        <v>206</v>
      </c>
      <c r="C8" s="24" t="s">
        <v>207</v>
      </c>
      <c r="D8" s="24" t="s">
        <v>208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>
      <c r="A9" s="39" t="s">
        <v>209</v>
      </c>
      <c r="B9" s="24" t="s">
        <v>210</v>
      </c>
      <c r="C9" s="24" t="s">
        <v>211</v>
      </c>
      <c r="D9" s="24" t="s">
        <v>212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>
      <c r="A10" s="39" t="s">
        <v>67</v>
      </c>
      <c r="B10" s="24" t="s">
        <v>213</v>
      </c>
      <c r="C10" s="24" t="s">
        <v>214</v>
      </c>
      <c r="D10" s="24" t="s">
        <v>215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>
      <c r="A11" s="39" t="s">
        <v>57</v>
      </c>
      <c r="B11" s="24" t="s">
        <v>216</v>
      </c>
      <c r="C11" s="24" t="s">
        <v>217</v>
      </c>
      <c r="D11" s="24" t="s">
        <v>218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>
      <c r="A12" s="39" t="s">
        <v>59</v>
      </c>
      <c r="B12" s="24" t="s">
        <v>219</v>
      </c>
      <c r="C12" s="24" t="s">
        <v>220</v>
      </c>
      <c r="D12" s="24" t="s">
        <v>221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>
      <c r="A13" s="39" t="s">
        <v>89</v>
      </c>
      <c r="B13" s="24" t="s">
        <v>222</v>
      </c>
      <c r="C13" s="24" t="s">
        <v>223</v>
      </c>
      <c r="D13" s="24" t="s">
        <v>224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>
      <c r="A14" s="81" t="s">
        <v>116</v>
      </c>
      <c r="B14" s="82" t="s">
        <v>225</v>
      </c>
      <c r="C14" s="82" t="s">
        <v>226</v>
      </c>
      <c r="D14" s="82" t="s">
        <v>227</v>
      </c>
      <c r="E14" s="65"/>
      <c r="F14" s="65"/>
      <c r="G14" s="65"/>
      <c r="H14" s="6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>
      <c r="A15" s="39" t="s">
        <v>21</v>
      </c>
      <c r="B15" s="24" t="s">
        <v>228</v>
      </c>
      <c r="C15" s="24" t="s">
        <v>229</v>
      </c>
      <c r="D15" s="24" t="s">
        <v>230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39" t="s">
        <v>231</v>
      </c>
      <c r="B16" s="24" t="s">
        <v>232</v>
      </c>
      <c r="C16" s="24" t="s">
        <v>233</v>
      </c>
      <c r="D16" s="24" t="s">
        <v>234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>
      <c r="A17" s="3" t="s">
        <v>235</v>
      </c>
      <c r="B17" s="4" t="s">
        <v>236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40" t="s">
        <v>237</v>
      </c>
      <c r="B18" s="24" t="s">
        <v>238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>
      <c r="A19" s="40" t="s">
        <v>239</v>
      </c>
      <c r="B19" s="24" t="s">
        <v>240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>
      <c r="A20" s="40" t="s">
        <v>235</v>
      </c>
      <c r="B20" s="24" t="s">
        <v>236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>
      <c r="A21" s="60" t="s">
        <v>241</v>
      </c>
      <c r="B21" s="59" t="s">
        <v>242</v>
      </c>
      <c r="C21" s="59" t="s">
        <v>243</v>
      </c>
      <c r="D21" s="59" t="s">
        <v>244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>
      <c r="A22" s="60" t="s">
        <v>245</v>
      </c>
      <c r="B22" s="59" t="s">
        <v>246</v>
      </c>
      <c r="C22" s="59" t="s">
        <v>247</v>
      </c>
      <c r="D22" s="59" t="s">
        <v>248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2">
    <mergeCell ref="A1:H1"/>
    <mergeCell ref="A14:H14"/>
  </mergeCells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使用说明</vt:lpstr>
      <vt:lpstr>输入区</vt:lpstr>
      <vt:lpstr>结果仪表盘</vt:lpstr>
      <vt:lpstr>年度路径</vt:lpstr>
      <vt:lpstr>情景对比</vt:lpstr>
      <vt:lpstr>慢富评分</vt:lpstr>
      <vt:lpstr>数据字典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Tower.liu</dc:creator>
  <cp:lastModifiedBy>岩涛 刘</cp:lastModifiedBy>
  <dcterms:created xsi:type="dcterms:W3CDTF">2026-06-28T02:48:12Z</dcterms:created>
  <dcterms:modified xsi:type="dcterms:W3CDTF">2026-06-28T02:48:12Z</dcterms:modified>
</cp:coreProperties>
</file>