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FCF821F0-FEFD-416B-82F4-02C36A28EEA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使用说明" sheetId="1" r:id="rId1"/>
    <sheet name="输入区" sheetId="2" r:id="rId2"/>
    <sheet name="结果仪表盘" sheetId="3" r:id="rId3"/>
    <sheet name="资产配置表" sheetId="4" r:id="rId4"/>
    <sheet name="再平衡计划" sheetId="5" r:id="rId5"/>
    <sheet name="年度路径" sheetId="6" r:id="rId6"/>
    <sheet name="情景模板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7" l="1"/>
  <c r="D12" i="7"/>
  <c r="C12" i="7"/>
  <c r="B12" i="7"/>
  <c r="G35" i="6"/>
  <c r="D35" i="6"/>
  <c r="B35" i="6"/>
  <c r="G34" i="6"/>
  <c r="D34" i="6"/>
  <c r="B34" i="6"/>
  <c r="G33" i="6"/>
  <c r="D33" i="6"/>
  <c r="B33" i="6"/>
  <c r="G32" i="6"/>
  <c r="D32" i="6"/>
  <c r="B32" i="6"/>
  <c r="G31" i="6"/>
  <c r="D31" i="6"/>
  <c r="B31" i="6"/>
  <c r="G30" i="6"/>
  <c r="D30" i="6"/>
  <c r="B30" i="6"/>
  <c r="G29" i="6"/>
  <c r="D29" i="6"/>
  <c r="B29" i="6"/>
  <c r="G28" i="6"/>
  <c r="D28" i="6"/>
  <c r="B28" i="6"/>
  <c r="G27" i="6"/>
  <c r="D27" i="6"/>
  <c r="B27" i="6"/>
  <c r="G26" i="6"/>
  <c r="D26" i="6"/>
  <c r="B26" i="6"/>
  <c r="G25" i="6"/>
  <c r="D25" i="6"/>
  <c r="B25" i="6"/>
  <c r="G24" i="6"/>
  <c r="D24" i="6"/>
  <c r="B24" i="6"/>
  <c r="G23" i="6"/>
  <c r="D23" i="6"/>
  <c r="B23" i="6"/>
  <c r="G22" i="6"/>
  <c r="D22" i="6"/>
  <c r="B22" i="6"/>
  <c r="G21" i="6"/>
  <c r="D21" i="6"/>
  <c r="B21" i="6"/>
  <c r="G20" i="6"/>
  <c r="D20" i="6"/>
  <c r="B20" i="6"/>
  <c r="G19" i="6"/>
  <c r="D19" i="6"/>
  <c r="B19" i="6"/>
  <c r="G18" i="6"/>
  <c r="D18" i="6"/>
  <c r="B18" i="6"/>
  <c r="G17" i="6"/>
  <c r="D17" i="6"/>
  <c r="B17" i="6"/>
  <c r="G16" i="6"/>
  <c r="D16" i="6"/>
  <c r="B16" i="6"/>
  <c r="G15" i="6"/>
  <c r="D15" i="6"/>
  <c r="B15" i="6"/>
  <c r="G14" i="6"/>
  <c r="D14" i="6"/>
  <c r="B14" i="6"/>
  <c r="G13" i="6"/>
  <c r="D13" i="6"/>
  <c r="B13" i="6"/>
  <c r="G12" i="6"/>
  <c r="D12" i="6"/>
  <c r="B12" i="6"/>
  <c r="G11" i="6"/>
  <c r="D11" i="6"/>
  <c r="B11" i="6"/>
  <c r="G10" i="6"/>
  <c r="D10" i="6"/>
  <c r="B10" i="6"/>
  <c r="G9" i="6"/>
  <c r="D9" i="6"/>
  <c r="B9" i="6"/>
  <c r="G8" i="6"/>
  <c r="D8" i="6"/>
  <c r="B8" i="6"/>
  <c r="G7" i="6"/>
  <c r="D7" i="6"/>
  <c r="B7" i="6"/>
  <c r="G6" i="6"/>
  <c r="D6" i="6"/>
  <c r="B6" i="6"/>
  <c r="G5" i="6"/>
  <c r="F5" i="6"/>
  <c r="C6" i="6" s="1"/>
  <c r="C5" i="6"/>
  <c r="B5" i="6"/>
  <c r="E11" i="5"/>
  <c r="B11" i="5"/>
  <c r="A11" i="5"/>
  <c r="J11" i="5" s="1"/>
  <c r="E10" i="5"/>
  <c r="B10" i="5"/>
  <c r="A10" i="5"/>
  <c r="J10" i="5" s="1"/>
  <c r="E9" i="5"/>
  <c r="B9" i="5"/>
  <c r="A9" i="5"/>
  <c r="J9" i="5" s="1"/>
  <c r="J8" i="5"/>
  <c r="F8" i="5"/>
  <c r="E8" i="5"/>
  <c r="B8" i="5"/>
  <c r="A8" i="5"/>
  <c r="E7" i="5"/>
  <c r="B7" i="5"/>
  <c r="A7" i="5"/>
  <c r="J7" i="5" s="1"/>
  <c r="J6" i="5"/>
  <c r="E6" i="5"/>
  <c r="B6" i="5"/>
  <c r="A6" i="5"/>
  <c r="E5" i="5"/>
  <c r="B5" i="5"/>
  <c r="A5" i="5"/>
  <c r="J5" i="5" s="1"/>
  <c r="J12" i="4"/>
  <c r="H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E9" i="4"/>
  <c r="D9" i="4"/>
  <c r="C9" i="4"/>
  <c r="B9" i="4"/>
  <c r="A9" i="4"/>
  <c r="E8" i="4"/>
  <c r="D8" i="4"/>
  <c r="C8" i="4"/>
  <c r="B8" i="4"/>
  <c r="A8" i="4"/>
  <c r="E7" i="4"/>
  <c r="D7" i="4"/>
  <c r="C7" i="4"/>
  <c r="B7" i="4"/>
  <c r="A7" i="4"/>
  <c r="F6" i="4"/>
  <c r="E6" i="4"/>
  <c r="D6" i="4"/>
  <c r="C6" i="4"/>
  <c r="B6" i="4"/>
  <c r="A6" i="4"/>
  <c r="E5" i="4"/>
  <c r="D5" i="4"/>
  <c r="C5" i="4"/>
  <c r="B5" i="4"/>
  <c r="A5" i="4"/>
  <c r="G22" i="3"/>
  <c r="G21" i="3"/>
  <c r="G20" i="3"/>
  <c r="G19" i="3"/>
  <c r="G18" i="3"/>
  <c r="G17" i="3"/>
  <c r="G16" i="3"/>
  <c r="O9" i="3"/>
  <c r="M9" i="3"/>
  <c r="B9" i="3"/>
  <c r="O8" i="3"/>
  <c r="M8" i="3"/>
  <c r="B8" i="3"/>
  <c r="F5" i="3" s="1"/>
  <c r="O7" i="3"/>
  <c r="M7" i="3"/>
  <c r="B7" i="3"/>
  <c r="O6" i="3"/>
  <c r="M6" i="3"/>
  <c r="F6" i="3"/>
  <c r="O5" i="3"/>
  <c r="M5" i="3"/>
  <c r="B5" i="3"/>
  <c r="O4" i="3"/>
  <c r="M4" i="3"/>
  <c r="B4" i="3"/>
  <c r="B6" i="3" s="1"/>
  <c r="F8" i="3" s="1"/>
  <c r="O3" i="3"/>
  <c r="M3" i="3"/>
  <c r="E24" i="2"/>
  <c r="E12" i="4" s="1"/>
  <c r="D24" i="2"/>
  <c r="D12" i="4" s="1"/>
  <c r="G23" i="2"/>
  <c r="I23" i="2" s="1"/>
  <c r="F23" i="2"/>
  <c r="C11" i="5" s="1"/>
  <c r="G22" i="2"/>
  <c r="I22" i="2" s="1"/>
  <c r="F22" i="2"/>
  <c r="N8" i="3" s="1"/>
  <c r="G21" i="2"/>
  <c r="G9" i="4" s="1"/>
  <c r="F21" i="2"/>
  <c r="N7" i="3" s="1"/>
  <c r="G20" i="2"/>
  <c r="G8" i="4" s="1"/>
  <c r="F20" i="2"/>
  <c r="N6" i="3" s="1"/>
  <c r="G19" i="2"/>
  <c r="G7" i="4" s="1"/>
  <c r="F19" i="2"/>
  <c r="H19" i="2" s="1"/>
  <c r="G18" i="2"/>
  <c r="F18" i="2"/>
  <c r="C6" i="5" s="1"/>
  <c r="G17" i="2"/>
  <c r="F5" i="5" s="1"/>
  <c r="F17" i="2"/>
  <c r="N3" i="3" s="1"/>
  <c r="H22" i="2" l="1"/>
  <c r="H21" i="3" s="1"/>
  <c r="F10" i="4"/>
  <c r="C10" i="5"/>
  <c r="J22" i="2"/>
  <c r="I21" i="3" s="1"/>
  <c r="G24" i="2"/>
  <c r="G12" i="4" s="1"/>
  <c r="G10" i="4"/>
  <c r="H10" i="4"/>
  <c r="I19" i="2"/>
  <c r="I7" i="4" s="1"/>
  <c r="D10" i="5"/>
  <c r="I10" i="5" s="1"/>
  <c r="F5" i="4"/>
  <c r="N4" i="3"/>
  <c r="G5" i="4"/>
  <c r="C7" i="5"/>
  <c r="C8" i="5"/>
  <c r="F6" i="5"/>
  <c r="G6" i="4"/>
  <c r="I11" i="4"/>
  <c r="G11" i="5"/>
  <c r="D7" i="5"/>
  <c r="H7" i="4"/>
  <c r="H18" i="3"/>
  <c r="J19" i="2"/>
  <c r="I10" i="4"/>
  <c r="G10" i="5"/>
  <c r="E6" i="6"/>
  <c r="F6" i="6"/>
  <c r="F11" i="4"/>
  <c r="F11" i="5"/>
  <c r="H23" i="2"/>
  <c r="G11" i="4"/>
  <c r="C5" i="5"/>
  <c r="H17" i="2"/>
  <c r="I20" i="2"/>
  <c r="N5" i="3"/>
  <c r="H20" i="2"/>
  <c r="F8" i="4"/>
  <c r="I17" i="2"/>
  <c r="F10" i="5"/>
  <c r="F24" i="2"/>
  <c r="F12" i="4" s="1"/>
  <c r="N9" i="3"/>
  <c r="H18" i="2"/>
  <c r="I21" i="2"/>
  <c r="B10" i="3"/>
  <c r="F7" i="4"/>
  <c r="F7" i="5"/>
  <c r="I18" i="2"/>
  <c r="B11" i="3"/>
  <c r="G7" i="5"/>
  <c r="C9" i="5"/>
  <c r="H5" i="6"/>
  <c r="H21" i="2"/>
  <c r="F9" i="4"/>
  <c r="F9" i="5"/>
  <c r="J10" i="4" l="1"/>
  <c r="J7" i="4"/>
  <c r="I18" i="3"/>
  <c r="H20" i="3"/>
  <c r="D9" i="5"/>
  <c r="J21" i="2"/>
  <c r="H9" i="4"/>
  <c r="H8" i="4"/>
  <c r="H19" i="3"/>
  <c r="J20" i="2"/>
  <c r="D8" i="5"/>
  <c r="I7" i="5"/>
  <c r="H7" i="5"/>
  <c r="H22" i="3"/>
  <c r="H11" i="4"/>
  <c r="J23" i="2"/>
  <c r="D11" i="5"/>
  <c r="I24" i="2"/>
  <c r="I12" i="4" s="1"/>
  <c r="I5" i="4"/>
  <c r="G5" i="5"/>
  <c r="I8" i="4"/>
  <c r="G8" i="5"/>
  <c r="H16" i="3"/>
  <c r="F7" i="3"/>
  <c r="J17" i="2"/>
  <c r="H5" i="4"/>
  <c r="D5" i="5"/>
  <c r="H10" i="5" s="1"/>
  <c r="I6" i="4"/>
  <c r="G6" i="5"/>
  <c r="G9" i="5"/>
  <c r="I9" i="4"/>
  <c r="C7" i="6"/>
  <c r="I6" i="6"/>
  <c r="H6" i="6"/>
  <c r="D6" i="5"/>
  <c r="H17" i="3"/>
  <c r="J18" i="2"/>
  <c r="H6" i="4"/>
  <c r="E7" i="6" l="1"/>
  <c r="F7" i="6" s="1"/>
  <c r="I22" i="3"/>
  <c r="J11" i="4"/>
  <c r="I8" i="5"/>
  <c r="H8" i="5"/>
  <c r="I11" i="5"/>
  <c r="H11" i="5"/>
  <c r="J8" i="4"/>
  <c r="I19" i="3"/>
  <c r="I16" i="3"/>
  <c r="J5" i="4"/>
  <c r="I20" i="3"/>
  <c r="J9" i="4"/>
  <c r="H5" i="5"/>
  <c r="I5" i="5"/>
  <c r="J6" i="4"/>
  <c r="I17" i="3"/>
  <c r="H9" i="5"/>
  <c r="I9" i="5"/>
  <c r="I6" i="5"/>
  <c r="H6" i="5"/>
  <c r="C8" i="6" l="1"/>
  <c r="I7" i="6"/>
  <c r="H7" i="6"/>
  <c r="E8" i="6" l="1"/>
  <c r="F8" i="6" s="1"/>
  <c r="C9" i="6" l="1"/>
  <c r="I8" i="6"/>
  <c r="H8" i="6"/>
  <c r="E9" i="6" l="1"/>
  <c r="F9" i="6" s="1"/>
  <c r="C10" i="6" l="1"/>
  <c r="I9" i="6"/>
  <c r="H9" i="6"/>
  <c r="E10" i="6" l="1"/>
  <c r="F10" i="6" s="1"/>
  <c r="C11" i="6" l="1"/>
  <c r="I10" i="6"/>
  <c r="H10" i="6"/>
  <c r="E11" i="6" l="1"/>
  <c r="F11" i="6" s="1"/>
  <c r="C12" i="6" l="1"/>
  <c r="I11" i="6"/>
  <c r="H11" i="6"/>
  <c r="E12" i="6" l="1"/>
  <c r="F12" i="6"/>
  <c r="C13" i="6" l="1"/>
  <c r="I12" i="6"/>
  <c r="H12" i="6"/>
  <c r="E13" i="6" l="1"/>
  <c r="F13" i="6" s="1"/>
  <c r="C14" i="6" l="1"/>
  <c r="I13" i="6"/>
  <c r="H13" i="6"/>
  <c r="E14" i="6" l="1"/>
  <c r="F14" i="6" s="1"/>
  <c r="C15" i="6" l="1"/>
  <c r="I14" i="6"/>
  <c r="H14" i="6"/>
  <c r="E15" i="6" l="1"/>
  <c r="F15" i="6" s="1"/>
  <c r="C16" i="6" l="1"/>
  <c r="I15" i="6"/>
  <c r="H15" i="6"/>
  <c r="E16" i="6" l="1"/>
  <c r="F16" i="6"/>
  <c r="C17" i="6" l="1"/>
  <c r="I16" i="6"/>
  <c r="H16" i="6"/>
  <c r="E17" i="6" l="1"/>
  <c r="F17" i="6" s="1"/>
  <c r="C18" i="6" l="1"/>
  <c r="I17" i="6"/>
  <c r="H17" i="6"/>
  <c r="E18" i="6" l="1"/>
  <c r="F18" i="6"/>
  <c r="C19" i="6" l="1"/>
  <c r="I18" i="6"/>
  <c r="H18" i="6"/>
  <c r="E19" i="6" l="1"/>
  <c r="F19" i="6" s="1"/>
  <c r="C20" i="6" l="1"/>
  <c r="I19" i="6"/>
  <c r="H19" i="6"/>
  <c r="E20" i="6" l="1"/>
  <c r="F20" i="6"/>
  <c r="C21" i="6" l="1"/>
  <c r="I20" i="6"/>
  <c r="H20" i="6"/>
  <c r="E21" i="6" l="1"/>
  <c r="F21" i="6" s="1"/>
  <c r="C22" i="6" l="1"/>
  <c r="I21" i="6"/>
  <c r="H21" i="6"/>
  <c r="E22" i="6" l="1"/>
  <c r="F22" i="6"/>
  <c r="C23" i="6" l="1"/>
  <c r="I22" i="6"/>
  <c r="H22" i="6"/>
  <c r="E23" i="6" l="1"/>
  <c r="F23" i="6" s="1"/>
  <c r="C24" i="6" l="1"/>
  <c r="I23" i="6"/>
  <c r="H23" i="6"/>
  <c r="E24" i="6" l="1"/>
  <c r="F24" i="6" s="1"/>
  <c r="C25" i="6" l="1"/>
  <c r="I24" i="6"/>
  <c r="H24" i="6"/>
  <c r="E25" i="6" l="1"/>
  <c r="F25" i="6" s="1"/>
  <c r="C26" i="6" l="1"/>
  <c r="I25" i="6"/>
  <c r="H25" i="6"/>
  <c r="E26" i="6" l="1"/>
  <c r="F26" i="6" s="1"/>
  <c r="C27" i="6" l="1"/>
  <c r="I26" i="6"/>
  <c r="H26" i="6"/>
  <c r="E27" i="6" l="1"/>
  <c r="F27" i="6" s="1"/>
  <c r="C28" i="6" l="1"/>
  <c r="I27" i="6"/>
  <c r="H27" i="6"/>
  <c r="E28" i="6" l="1"/>
  <c r="F28" i="6"/>
  <c r="C29" i="6" l="1"/>
  <c r="I28" i="6"/>
  <c r="H28" i="6"/>
  <c r="E29" i="6" l="1"/>
  <c r="F29" i="6" s="1"/>
  <c r="C30" i="6" l="1"/>
  <c r="I29" i="6"/>
  <c r="H29" i="6"/>
  <c r="E30" i="6" l="1"/>
  <c r="F30" i="6" s="1"/>
  <c r="C31" i="6" l="1"/>
  <c r="I30" i="6"/>
  <c r="H30" i="6"/>
  <c r="E31" i="6" l="1"/>
  <c r="F31" i="6" s="1"/>
  <c r="C32" i="6" l="1"/>
  <c r="I31" i="6"/>
  <c r="H31" i="6"/>
  <c r="E32" i="6" l="1"/>
  <c r="F32" i="6" s="1"/>
  <c r="C33" i="6" l="1"/>
  <c r="I32" i="6"/>
  <c r="H32" i="6"/>
  <c r="E33" i="6" l="1"/>
  <c r="F33" i="6" s="1"/>
  <c r="C34" i="6" l="1"/>
  <c r="I33" i="6"/>
  <c r="H33" i="6"/>
  <c r="E34" i="6" l="1"/>
  <c r="F34" i="6"/>
  <c r="C35" i="6" l="1"/>
  <c r="I34" i="6"/>
  <c r="H34" i="6"/>
  <c r="E35" i="6" l="1"/>
  <c r="F35" i="6" s="1"/>
  <c r="I35" i="6" l="1"/>
  <c r="H35" i="6"/>
</calcChain>
</file>

<file path=xl/sharedStrings.xml><?xml version="1.0" encoding="utf-8"?>
<sst xmlns="http://schemas.openxmlformats.org/spreadsheetml/2006/main" count="214" uniqueCount="167">
  <si>
    <t>慢富人生｜资产配置表</t>
  </si>
  <si>
    <t>用少数核心资产，搭建长期、分散、低频、可执行的投资系统。</t>
  </si>
  <si>
    <t>使用顺序</t>
  </si>
  <si>
    <t>你只需要填写黄色区域，其余自动计算。</t>
  </si>
  <si>
    <t>建议先填输入区，再看结果仪表盘，最后按再平衡计划执行。</t>
  </si>
  <si>
    <t>核心逻辑</t>
  </si>
  <si>
    <t>先搭地基，再做配置。</t>
  </si>
  <si>
    <t>应急金、短期用钱和长期投资要分层，避免短期资金承担长期波动。</t>
  </si>
  <si>
    <t>资产框架</t>
  </si>
  <si>
    <t>指数类负责增长，债券和现金负责稳定，黄金负责极端风险对冲，全球分散降低单一市场风险。</t>
  </si>
  <si>
    <t>比例没有唯一答案，关键是你能真实持有十年。</t>
  </si>
  <si>
    <t>执行纪律</t>
  </si>
  <si>
    <t>固定投入，低频再平衡，年度校准。</t>
  </si>
  <si>
    <t>市场上涨时不轻易打断系统，市场下跌时不让情绪替你做决定。</t>
  </si>
  <si>
    <t>重要提醒</t>
  </si>
  <si>
    <t>本表是个人资产配置规划工具。</t>
  </si>
  <si>
    <t>不构成具体投资建议。请结合家庭责任、现金流、风险承受力和可投资期限使用。</t>
  </si>
  <si>
    <t>输入区</t>
  </si>
  <si>
    <t>填写黄色单元格：生活成本、储蓄能力、目标比例和当前金额。</t>
  </si>
  <si>
    <t>基础参数</t>
  </si>
  <si>
    <t>填写值</t>
  </si>
  <si>
    <t>单位/说明</t>
  </si>
  <si>
    <t>自动结果</t>
  </si>
  <si>
    <t>每月基本生活成本</t>
  </si>
  <si>
    <t>元/月</t>
  </si>
  <si>
    <t>用于测算应急金和财务自由目标</t>
  </si>
  <si>
    <t>应急金目标月数</t>
  </si>
  <si>
    <t>月</t>
  </si>
  <si>
    <t>建议 6 到 12 个月</t>
  </si>
  <si>
    <t>每月可投资现金流</t>
  </si>
  <si>
    <t>工资/副业结余中可持续投入部分</t>
  </si>
  <si>
    <t>年终/一次性追加投入</t>
  </si>
  <si>
    <t>元/年</t>
  </si>
  <si>
    <t>年终奖、项目收入等</t>
  </si>
  <si>
    <t>预期长期年化收益率</t>
  </si>
  <si>
    <t>%</t>
  </si>
  <si>
    <t>用于年度路径测算，可自行改</t>
  </si>
  <si>
    <t>安全提取率</t>
  </si>
  <si>
    <t>用于估算自由目标资产</t>
  </si>
  <si>
    <t>再平衡触发阈值</t>
  </si>
  <si>
    <t>当前比例偏离目标比例超过该值时提醒</t>
  </si>
  <si>
    <t>当前年龄</t>
  </si>
  <si>
    <t>岁</t>
  </si>
  <si>
    <t>用于目标年龄测算</t>
  </si>
  <si>
    <t>目标年龄</t>
  </si>
  <si>
    <t>用于年度路径观察</t>
  </si>
  <si>
    <t>资产类别</t>
  </si>
  <si>
    <t>功能定位</t>
  </si>
  <si>
    <t>示例产品/方向</t>
  </si>
  <si>
    <t>目标比例</t>
  </si>
  <si>
    <t>当前金额</t>
  </si>
  <si>
    <t>当前比例</t>
  </si>
  <si>
    <t>目标金额</t>
  </si>
  <si>
    <t>偏离比例</t>
  </si>
  <si>
    <t>需调整金额</t>
  </si>
  <si>
    <t>系统动作</t>
  </si>
  <si>
    <t>应急金/现金类</t>
  </si>
  <si>
    <t>地基与安全垫</t>
  </si>
  <si>
    <t>活期、货币基金、短期存款</t>
  </si>
  <si>
    <t>稳健储备/债券类</t>
  </si>
  <si>
    <t>降低波动</t>
  </si>
  <si>
    <t>债券基金、存款、稳健理财</t>
  </si>
  <si>
    <t>A股宽基</t>
  </si>
  <si>
    <t>国内长期增长</t>
  </si>
  <si>
    <t>沪深300、中证A500</t>
  </si>
  <si>
    <t>海外宽基</t>
  </si>
  <si>
    <t>全球分散</t>
  </si>
  <si>
    <t>标普500等</t>
  </si>
  <si>
    <t>成长增强</t>
  </si>
  <si>
    <t>提高长期弹性</t>
  </si>
  <si>
    <t>纳指100等</t>
  </si>
  <si>
    <t>黄金</t>
  </si>
  <si>
    <t>极端风险对冲</t>
  </si>
  <si>
    <t>实物黄金、黄金ETF</t>
  </si>
  <si>
    <t>其他长期资产</t>
  </si>
  <si>
    <t>自定义补充</t>
  </si>
  <si>
    <t>REITs、现金流资产等</t>
  </si>
  <si>
    <t>合计</t>
  </si>
  <si>
    <t>结果仪表盘</t>
  </si>
  <si>
    <t>一眼看清：总资产、自由进度、安全垫、当前配置和偏离程度。</t>
  </si>
  <si>
    <t>当前可配置资产</t>
  </si>
  <si>
    <t>元</t>
  </si>
  <si>
    <t>系统判断</t>
  </si>
  <si>
    <t>目标自由资产</t>
  </si>
  <si>
    <t>应急金状态</t>
  </si>
  <si>
    <t>自由进度</t>
  </si>
  <si>
    <t>目标比例状态</t>
  </si>
  <si>
    <t>应急金目标</t>
  </si>
  <si>
    <t>再平衡提醒</t>
  </si>
  <si>
    <t>应急金覆盖倍数</t>
  </si>
  <si>
    <t>长期路径</t>
  </si>
  <si>
    <t>每年新增本金</t>
  </si>
  <si>
    <t>股权类资产比例</t>
  </si>
  <si>
    <t>防御类资产比例</t>
  </si>
  <si>
    <t>配置偏离雷达：偏高/偏低</t>
  </si>
  <si>
    <t>动作</t>
  </si>
  <si>
    <t>资产配置表</t>
  </si>
  <si>
    <t>用目标比例和当前金额，自动生成目标金额、偏离、调整金额和执行动作。</t>
  </si>
  <si>
    <t>配置原则提醒</t>
  </si>
  <si>
    <t>先分层</t>
  </si>
  <si>
    <t>应急金和未来一两年要用的钱，不进入高波动资产。</t>
  </si>
  <si>
    <t>再增长</t>
  </si>
  <si>
    <t>长期不用的钱，主要由宽基指数承接经济增长和企业盈利。</t>
  </si>
  <si>
    <t>控波动</t>
  </si>
  <si>
    <t>债券、现金和黄金的作用，是让系统更容易拿住。</t>
  </si>
  <si>
    <t>少折腾</t>
  </si>
  <si>
    <t>配置确定后，按月投入，半年复盘，年度校准，少做临场判断。</t>
  </si>
  <si>
    <t>看体验</t>
  </si>
  <si>
    <t>纸面收益最高的配置未必适合你，能长期持有的配置更重要。</t>
  </si>
  <si>
    <t>再平衡计划</t>
  </si>
  <si>
    <t>新增资金优先补低配资产；偏离超过阈值时，再考虑结构性调整。</t>
  </si>
  <si>
    <t>调整金额</t>
  </si>
  <si>
    <t>新增资金建议</t>
  </si>
  <si>
    <t>再平衡动作</t>
  </si>
  <si>
    <t>备注</t>
  </si>
  <si>
    <t>规则</t>
  </si>
  <si>
    <t>1</t>
  </si>
  <si>
    <t>新增资金优先补低配资产</t>
  </si>
  <si>
    <t>每月新增资金先流向偏离为负的资产，直到接近目标比例。</t>
  </si>
  <si>
    <t>2</t>
  </si>
  <si>
    <t>偏离超过阈值再处理</t>
  </si>
  <si>
    <t>偏离未超过阈值时，不必频繁卖出，保持低频执行。</t>
  </si>
  <si>
    <t>3</t>
  </si>
  <si>
    <t>先处理现金流风险</t>
  </si>
  <si>
    <t>应急金未达标时，先补安全垫，避免市场下跌时被迫卖出长期资产。</t>
  </si>
  <si>
    <t>4</t>
  </si>
  <si>
    <t>半年复盘，年度校准</t>
  </si>
  <si>
    <t>复盘主要检查系统是否偏离，校准才结合人生阶段调整目标比例。</t>
  </si>
  <si>
    <t>年度路径</t>
  </si>
  <si>
    <t>假设每月持续投入并按预期收益复利增长，用于观察长期积累节奏。</t>
  </si>
  <si>
    <t>年份</t>
  </si>
  <si>
    <t>年龄</t>
  </si>
  <si>
    <t>年初资产</t>
  </si>
  <si>
    <t>年度新增本金</t>
  </si>
  <si>
    <t>年度收益</t>
  </si>
  <si>
    <t>年末资产</t>
  </si>
  <si>
    <t>达成进度</t>
  </si>
  <si>
    <t>当前状态</t>
  </si>
  <si>
    <t>情景模板</t>
  </si>
  <si>
    <t>四套参考比例：保守、均衡、成长、慢富默认。可复制到输入区目标比例。</t>
  </si>
  <si>
    <t>保守型</t>
  </si>
  <si>
    <t>均衡型</t>
  </si>
  <si>
    <t>成长型</t>
  </si>
  <si>
    <t>慢富默认</t>
  </si>
  <si>
    <t>适用人群</t>
  </si>
  <si>
    <t>使用提醒</t>
  </si>
  <si>
    <t>收入波动大、家庭责任重的人可适当提高。</t>
  </si>
  <si>
    <t>应急金不是为了收益，主要为了避免被迫卖出。</t>
  </si>
  <si>
    <t>风险承受力较低、接近退休或短中期有大额支出的人。</t>
  </si>
  <si>
    <t>债券和现金是组合减震器。</t>
  </si>
  <si>
    <t>看好国内长期增长、愿意长期定投的人。</t>
  </si>
  <si>
    <t>适合用沪深300、中证A500等宽基承接整体增长。</t>
  </si>
  <si>
    <t>希望全球分散、降低单一市场风险的人。</t>
  </si>
  <si>
    <t>标普500等宽基用于分享全球优质企业长期增长。</t>
  </si>
  <si>
    <t>能承受较大波动、投资期限较长的人。</t>
  </si>
  <si>
    <t>纳指100等可增强弹性，但比例不宜让自己睡不着。</t>
  </si>
  <si>
    <t>希望抵御极端风险和货币信用风险的人。</t>
  </si>
  <si>
    <t>黄金主要是防御与对冲，不负责长期主增长。</t>
  </si>
  <si>
    <t>有清晰理解和边界的人。</t>
  </si>
  <si>
    <t>没有把握时保持为0。</t>
  </si>
  <si>
    <t>如何选择模板</t>
  </si>
  <si>
    <t>适合现金流压力大、短中期确定用钱多、无法承受明显回撤的人。</t>
  </si>
  <si>
    <t>适合大多数普通家庭，增长和波动控制相对平衡。</t>
  </si>
  <si>
    <t>适合投资期限长、现金流稳定、能接受较大阶段回撤的人。</t>
  </si>
  <si>
    <t>适合以长期宽基为核心，同时保留黄金和稳健资产的低频执行者。</t>
  </si>
  <si>
    <t>使用边界</t>
  </si>
  <si>
    <t>模板只解决起点问题，真正重要的是长期执行、定期投入、少犯大错。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</si>
</sst>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;[Red]\(0.0%\);\-"/>
    <numFmt numFmtId="177" formatCode="#,##0;[Red]\(#,##0\);\-"/>
    <numFmt numFmtId="178" formatCode="0.0"/>
  </numFmts>
  <fonts count="11">
    <font>
      <sz val="11"/>
      <name val="Carlito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i/>
      <sz val="10"/>
      <color rgb="FF666666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color rgb="FF3B2F2F"/>
      <name val="微软雅黑"/>
      <family val="2"/>
      <charset val="134"/>
    </font>
    <font>
      <sz val="10"/>
      <color rgb="FF0000FF"/>
      <name val="微软雅黑"/>
      <family val="2"/>
      <charset val="134"/>
    </font>
    <font>
      <sz val="10"/>
      <color rgb="FF666666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1"/>
      <name val="Carlito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3B2F2F"/>
      </patternFill>
    </fill>
    <fill>
      <patternFill patternType="solid">
        <fgColor rgb="FFF8F1E8"/>
      </patternFill>
    </fill>
    <fill>
      <patternFill patternType="solid">
        <fgColor rgb="FF8B5E34"/>
      </patternFill>
    </fill>
    <fill>
      <patternFill patternType="solid">
        <fgColor rgb="FFFFF8EC"/>
      </patternFill>
    </fill>
    <fill>
      <patternFill patternType="solid">
        <fgColor rgb="FFFFF2CC"/>
      </patternFill>
    </fill>
    <fill>
      <patternFill patternType="solid">
        <fgColor rgb="FFE7F3EA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vertical="center" wrapText="1"/>
    </xf>
    <xf numFmtId="0" fontId="1" fillId="2" borderId="0" xfId="1" applyFont="1" applyFill="1" applyAlignment="1">
      <alignment horizontal="center" vertical="center" wrapText="1"/>
    </xf>
    <xf numFmtId="0" fontId="2" fillId="0" borderId="0" xfId="1" applyFont="1" applyAlignment="1">
      <alignment wrapText="1"/>
    </xf>
    <xf numFmtId="0" fontId="5" fillId="3" borderId="0" xfId="1" applyFont="1" applyFill="1" applyAlignment="1">
      <alignment wrapText="1"/>
    </xf>
    <xf numFmtId="0" fontId="7" fillId="5" borderId="0" xfId="1" applyFont="1" applyFill="1" applyAlignment="1">
      <alignment wrapText="1"/>
    </xf>
    <xf numFmtId="0" fontId="2" fillId="5" borderId="0" xfId="1" applyFont="1" applyFill="1" applyAlignment="1">
      <alignment vertical="center" wrapText="1"/>
    </xf>
    <xf numFmtId="176" fontId="4" fillId="8" borderId="0" xfId="1" applyNumberFormat="1" applyFont="1" applyFill="1" applyAlignment="1">
      <alignment horizontal="center" vertical="center" wrapText="1"/>
    </xf>
    <xf numFmtId="177" fontId="4" fillId="8" borderId="0" xfId="1" applyNumberFormat="1" applyFont="1" applyFill="1" applyAlignment="1">
      <alignment horizontal="center" vertical="center" wrapText="1"/>
    </xf>
    <xf numFmtId="0" fontId="4" fillId="8" borderId="0" xfId="1" applyFont="1" applyFill="1" applyAlignment="1">
      <alignment horizontal="center" vertical="center" wrapText="1"/>
    </xf>
    <xf numFmtId="177" fontId="6" fillId="6" borderId="0" xfId="1" applyNumberFormat="1" applyFont="1" applyFill="1" applyAlignment="1">
      <alignment horizontal="center" vertical="center" wrapText="1"/>
    </xf>
    <xf numFmtId="176" fontId="6" fillId="6" borderId="0" xfId="1" applyNumberFormat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176" fontId="5" fillId="7" borderId="0" xfId="1" applyNumberFormat="1" applyFont="1" applyFill="1" applyAlignment="1">
      <alignment horizontal="center" vertical="center" wrapText="1"/>
    </xf>
    <xf numFmtId="177" fontId="5" fillId="7" borderId="0" xfId="1" applyNumberFormat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176" fontId="4" fillId="5" borderId="0" xfId="1" applyNumberFormat="1" applyFont="1" applyFill="1" applyAlignment="1">
      <alignment horizontal="center" vertical="center" wrapText="1"/>
    </xf>
    <xf numFmtId="0" fontId="4" fillId="8" borderId="0" xfId="1" applyFont="1" applyFill="1" applyAlignment="1">
      <alignment wrapText="1"/>
    </xf>
    <xf numFmtId="176" fontId="4" fillId="8" borderId="0" xfId="1" applyNumberFormat="1" applyFont="1" applyFill="1" applyAlignment="1">
      <alignment wrapText="1"/>
    </xf>
    <xf numFmtId="177" fontId="8" fillId="8" borderId="0" xfId="1" applyNumberFormat="1" applyFont="1" applyFill="1" applyAlignment="1">
      <alignment horizontal="center" vertical="center" wrapText="1"/>
    </xf>
    <xf numFmtId="0" fontId="7" fillId="5" borderId="0" xfId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176" fontId="8" fillId="8" borderId="0" xfId="1" applyNumberFormat="1" applyFont="1" applyFill="1" applyAlignment="1">
      <alignment horizontal="center" vertical="center" wrapText="1"/>
    </xf>
    <xf numFmtId="178" fontId="8" fillId="8" borderId="0" xfId="1" applyNumberFormat="1" applyFont="1" applyFill="1" applyAlignment="1">
      <alignment horizontal="center" vertical="center" wrapText="1"/>
    </xf>
    <xf numFmtId="176" fontId="4" fillId="0" borderId="0" xfId="1" applyNumberFormat="1" applyFont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77" fontId="4" fillId="5" borderId="0" xfId="1" applyNumberFormat="1" applyFont="1" applyFill="1" applyAlignment="1">
      <alignment horizontal="center" vertical="center" wrapText="1"/>
    </xf>
    <xf numFmtId="0" fontId="4" fillId="8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0" borderId="0" xfId="1" applyFont="1" applyAlignment="1">
      <alignment wrapText="1"/>
    </xf>
    <xf numFmtId="0" fontId="3" fillId="3" borderId="0" xfId="1" applyFont="1" applyFill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常规" xfId="0" builtinId="0"/>
  </cellStyles>
  <dxfs count="2">
    <dxf>
      <fill>
        <patternFill>
          <bgColor rgb="FFEAF2F8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/>
          <a:lstStyle/>
          <a:p>
            <a:r>
              <a:rPr lang="zh-CN" altLang="en-US"/>
              <a:t>当前比例 </a:t>
            </a:r>
            <a:r>
              <a:rPr lang="en-US"/>
              <a:t>vs </a:t>
            </a:r>
            <a:r>
              <a:rPr lang="zh-CN" altLang="en-US"/>
              <a:t>目标比例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当前比例</c:v>
          </c:tx>
          <c:invertIfNegative val="1"/>
          <c:cat>
            <c:strRef>
              <c:f>结果仪表盘!$M$3:$M$9</c:f>
              <c:strCache>
                <c:ptCount val="7"/>
                <c:pt idx="0">
                  <c:v>应急金/现金类</c:v>
                </c:pt>
                <c:pt idx="1">
                  <c:v>稳健储备/债券类</c:v>
                </c:pt>
                <c:pt idx="2">
                  <c:v>A股宽基</c:v>
                </c:pt>
                <c:pt idx="3">
                  <c:v>海外宽基</c:v>
                </c:pt>
                <c:pt idx="4">
                  <c:v>成长增强</c:v>
                </c:pt>
                <c:pt idx="5">
                  <c:v>黄金</c:v>
                </c:pt>
                <c:pt idx="6">
                  <c:v>其他长期资产</c:v>
                </c:pt>
              </c:strCache>
            </c:strRef>
          </c:cat>
          <c:val>
            <c:numRef>
              <c:f>结果仪表盘!$N$3:$N$9</c:f>
              <c:numCache>
                <c:formatCode>0.0%;[Red]\(0.0%\);\-</c:formatCode>
                <c:ptCount val="7"/>
                <c:pt idx="0">
                  <c:v>0.15</c:v>
                </c:pt>
                <c:pt idx="1">
                  <c:v>7.4999999999999997E-2</c:v>
                </c:pt>
                <c:pt idx="2">
                  <c:v>0.3</c:v>
                </c:pt>
                <c:pt idx="3">
                  <c:v>0.25</c:v>
                </c:pt>
                <c:pt idx="4">
                  <c:v>0.125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1-47E5-B982-1FED871501C2}"/>
            </c:ext>
          </c:extLst>
        </c:ser>
        <c:ser>
          <c:idx val="1"/>
          <c:order val="1"/>
          <c:tx>
            <c:v>目标比例</c:v>
          </c:tx>
          <c:invertIfNegative val="1"/>
          <c:cat>
            <c:strRef>
              <c:f>结果仪表盘!$M$3:$M$9</c:f>
              <c:strCache>
                <c:ptCount val="7"/>
                <c:pt idx="0">
                  <c:v>应急金/现金类</c:v>
                </c:pt>
                <c:pt idx="1">
                  <c:v>稳健储备/债券类</c:v>
                </c:pt>
                <c:pt idx="2">
                  <c:v>A股宽基</c:v>
                </c:pt>
                <c:pt idx="3">
                  <c:v>海外宽基</c:v>
                </c:pt>
                <c:pt idx="4">
                  <c:v>成长增强</c:v>
                </c:pt>
                <c:pt idx="5">
                  <c:v>黄金</c:v>
                </c:pt>
                <c:pt idx="6">
                  <c:v>其他长期资产</c:v>
                </c:pt>
              </c:strCache>
            </c:strRef>
          </c:cat>
          <c:val>
            <c:numRef>
              <c:f>结果仪表盘!$O$3:$O$9</c:f>
              <c:numCache>
                <c:formatCode>0.0%;[Red]\(0.0%\);\-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0.25</c:v>
                </c:pt>
                <c:pt idx="4">
                  <c:v>0.15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61-47E5-B982-1FED8715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%;[Red]\(0.0%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c:style val="2"/>
  <c:chart>
    <c:title>
      <c:tx>
        <c:rich>
          <a:bodyPr/>
          <a:lstStyle/>
          <a:p>
            <a:r>
              <a:rPr lang="zh-CN" altLang="en-US"/>
              <a:t>资产增长路径与自由进度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年龄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年度路径!$B$5:$B$35</c:f>
              <c:numCache>
                <c:formatCode>General</c:formatCode>
                <c:ptCount val="31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816-BA68-56D16AB2E988}"/>
            </c:ext>
          </c:extLst>
        </c:ser>
        <c:ser>
          <c:idx val="1"/>
          <c:order val="1"/>
          <c:tx>
            <c:v>年初资产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年度路径!$C$5:$C$35</c:f>
              <c:numCache>
                <c:formatCode>#,##0;[Red]\(#,##0\);\-</c:formatCode>
                <c:ptCount val="31"/>
                <c:pt idx="0">
                  <c:v>400000</c:v>
                </c:pt>
                <c:pt idx="1">
                  <c:v>400000</c:v>
                </c:pt>
                <c:pt idx="2">
                  <c:v>494400</c:v>
                </c:pt>
                <c:pt idx="3">
                  <c:v>596352</c:v>
                </c:pt>
                <c:pt idx="4">
                  <c:v>706460.16000000003</c:v>
                </c:pt>
                <c:pt idx="5">
                  <c:v>825376.97279999999</c:v>
                </c:pt>
                <c:pt idx="6">
                  <c:v>953807.13062399998</c:v>
                </c:pt>
                <c:pt idx="7">
                  <c:v>1092511.7010739199</c:v>
                </c:pt>
                <c:pt idx="8">
                  <c:v>1242312.6371598335</c:v>
                </c:pt>
                <c:pt idx="9">
                  <c:v>1404097.6481326201</c:v>
                </c:pt>
                <c:pt idx="10">
                  <c:v>1578825.4599832296</c:v>
                </c:pt>
                <c:pt idx="11">
                  <c:v>1767531.496781888</c:v>
                </c:pt>
                <c:pt idx="12">
                  <c:v>1971334.016524439</c:v>
                </c:pt>
                <c:pt idx="13">
                  <c:v>2191440.7378463941</c:v>
                </c:pt>
                <c:pt idx="14">
                  <c:v>2429155.9968741057</c:v>
                </c:pt>
                <c:pt idx="15">
                  <c:v>2685888.4766240343</c:v>
                </c:pt>
                <c:pt idx="16">
                  <c:v>2963159.5547539573</c:v>
                </c:pt>
                <c:pt idx="17">
                  <c:v>3262612.319134274</c:v>
                </c:pt>
                <c:pt idx="18">
                  <c:v>3586021.304665016</c:v>
                </c:pt>
                <c:pt idx="19">
                  <c:v>3935303.0090382174</c:v>
                </c:pt>
                <c:pt idx="20">
                  <c:v>4312527.249761275</c:v>
                </c:pt>
                <c:pt idx="21">
                  <c:v>4719929.429742177</c:v>
                </c:pt>
                <c:pt idx="22">
                  <c:v>5159923.7841215516</c:v>
                </c:pt>
                <c:pt idx="23">
                  <c:v>5635117.6868512761</c:v>
                </c:pt>
                <c:pt idx="24">
                  <c:v>6148327.1017993782</c:v>
                </c:pt>
                <c:pt idx="25">
                  <c:v>6702593.2699433286</c:v>
                </c:pt>
                <c:pt idx="26">
                  <c:v>7301200.7315387949</c:v>
                </c:pt>
                <c:pt idx="27">
                  <c:v>7947696.7900618985</c:v>
                </c:pt>
                <c:pt idx="28">
                  <c:v>8645912.5332668498</c:v>
                </c:pt>
                <c:pt idx="29">
                  <c:v>9399985.5359281972</c:v>
                </c:pt>
                <c:pt idx="30">
                  <c:v>10214384.378802452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816-BA68-56D16AB2E988}"/>
            </c:ext>
          </c:extLst>
        </c:ser>
        <c:ser>
          <c:idx val="2"/>
          <c:order val="2"/>
          <c:tx>
            <c:v>年度新增本金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年度路径!$D$5:$D$35</c:f>
              <c:numCache>
                <c:formatCode>#,##0;[Red]\(#,##0\);\-</c:formatCode>
                <c:ptCount val="31"/>
                <c:pt idx="0">
                  <c:v>0</c:v>
                </c:pt>
                <c:pt idx="1">
                  <c:v>60000</c:v>
                </c:pt>
                <c:pt idx="2">
                  <c:v>60000</c:v>
                </c:pt>
                <c:pt idx="3">
                  <c:v>60000</c:v>
                </c:pt>
                <c:pt idx="4">
                  <c:v>60000</c:v>
                </c:pt>
                <c:pt idx="5">
                  <c:v>60000</c:v>
                </c:pt>
                <c:pt idx="6">
                  <c:v>60000</c:v>
                </c:pt>
                <c:pt idx="7">
                  <c:v>60000</c:v>
                </c:pt>
                <c:pt idx="8">
                  <c:v>60000</c:v>
                </c:pt>
                <c:pt idx="9">
                  <c:v>60000</c:v>
                </c:pt>
                <c:pt idx="10">
                  <c:v>60000</c:v>
                </c:pt>
                <c:pt idx="11">
                  <c:v>60000</c:v>
                </c:pt>
                <c:pt idx="12">
                  <c:v>60000</c:v>
                </c:pt>
                <c:pt idx="13">
                  <c:v>60000</c:v>
                </c:pt>
                <c:pt idx="14">
                  <c:v>60000</c:v>
                </c:pt>
                <c:pt idx="15">
                  <c:v>60000</c:v>
                </c:pt>
                <c:pt idx="16">
                  <c:v>60000</c:v>
                </c:pt>
                <c:pt idx="17">
                  <c:v>60000</c:v>
                </c:pt>
                <c:pt idx="18">
                  <c:v>60000</c:v>
                </c:pt>
                <c:pt idx="19">
                  <c:v>60000</c:v>
                </c:pt>
                <c:pt idx="20">
                  <c:v>60000</c:v>
                </c:pt>
                <c:pt idx="21">
                  <c:v>60000</c:v>
                </c:pt>
                <c:pt idx="22">
                  <c:v>60000</c:v>
                </c:pt>
                <c:pt idx="23">
                  <c:v>60000</c:v>
                </c:pt>
                <c:pt idx="24">
                  <c:v>60000</c:v>
                </c:pt>
                <c:pt idx="25">
                  <c:v>60000</c:v>
                </c:pt>
                <c:pt idx="26">
                  <c:v>60000</c:v>
                </c:pt>
                <c:pt idx="27">
                  <c:v>60000</c:v>
                </c:pt>
                <c:pt idx="28">
                  <c:v>60000</c:v>
                </c:pt>
                <c:pt idx="29">
                  <c:v>60000</c:v>
                </c:pt>
                <c:pt idx="30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7-4816-BA68-56D16AB2E988}"/>
            </c:ext>
          </c:extLst>
        </c:ser>
        <c:ser>
          <c:idx val="3"/>
          <c:order val="3"/>
          <c:tx>
            <c:v>年度收益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年度路径!$E$5:$E$35</c:f>
              <c:numCache>
                <c:formatCode>#,##0;[Red]\(#,##0\);\-</c:formatCode>
                <c:ptCount val="31"/>
                <c:pt idx="0">
                  <c:v>0</c:v>
                </c:pt>
                <c:pt idx="1">
                  <c:v>34400</c:v>
                </c:pt>
                <c:pt idx="2">
                  <c:v>41952</c:v>
                </c:pt>
                <c:pt idx="3">
                  <c:v>50108.160000000003</c:v>
                </c:pt>
                <c:pt idx="4">
                  <c:v>58916.812800000007</c:v>
                </c:pt>
                <c:pt idx="5">
                  <c:v>68430.157823999994</c:v>
                </c:pt>
                <c:pt idx="6">
                  <c:v>78704.570449920007</c:v>
                </c:pt>
                <c:pt idx="7">
                  <c:v>89800.936085913592</c:v>
                </c:pt>
                <c:pt idx="8">
                  <c:v>101785.01097278668</c:v>
                </c:pt>
                <c:pt idx="9">
                  <c:v>114727.81185060961</c:v>
                </c:pt>
                <c:pt idx="10">
                  <c:v>128706.03679865837</c:v>
                </c:pt>
                <c:pt idx="11">
                  <c:v>143802.51974255103</c:v>
                </c:pt>
                <c:pt idx="12">
                  <c:v>160106.72132195512</c:v>
                </c:pt>
                <c:pt idx="13">
                  <c:v>177715.25902771152</c:v>
                </c:pt>
                <c:pt idx="14">
                  <c:v>196732.47974992846</c:v>
                </c:pt>
                <c:pt idx="15">
                  <c:v>217271.07812992274</c:v>
                </c:pt>
                <c:pt idx="16">
                  <c:v>239452.7643803166</c:v>
                </c:pt>
                <c:pt idx="17">
                  <c:v>263408.98553074192</c:v>
                </c:pt>
                <c:pt idx="18">
                  <c:v>289281.7043732013</c:v>
                </c:pt>
                <c:pt idx="19">
                  <c:v>317224.24072305742</c:v>
                </c:pt>
                <c:pt idx="20">
                  <c:v>347402.179980902</c:v>
                </c:pt>
                <c:pt idx="21">
                  <c:v>379994.35437937418</c:v>
                </c:pt>
                <c:pt idx="22">
                  <c:v>415193.90272972413</c:v>
                </c:pt>
                <c:pt idx="23">
                  <c:v>453209.41494810209</c:v>
                </c:pt>
                <c:pt idx="24">
                  <c:v>494266.16814395029</c:v>
                </c:pt>
                <c:pt idx="25">
                  <c:v>538607.46159546624</c:v>
                </c:pt>
                <c:pt idx="26">
                  <c:v>586496.05852310359</c:v>
                </c:pt>
                <c:pt idx="27">
                  <c:v>638215.74320495187</c:v>
                </c:pt>
                <c:pt idx="28">
                  <c:v>694073.00266134797</c:v>
                </c:pt>
                <c:pt idx="29">
                  <c:v>754398.84287425585</c:v>
                </c:pt>
                <c:pt idx="30">
                  <c:v>819550.75030419615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07-4816-BA68-56D16AB2E988}"/>
            </c:ext>
          </c:extLst>
        </c:ser>
        <c:ser>
          <c:idx val="4"/>
          <c:order val="4"/>
          <c:tx>
            <c:v>年末资产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年度路径!$F$5:$F$35</c:f>
              <c:numCache>
                <c:formatCode>#,##0;[Red]\(#,##0\);\-</c:formatCode>
                <c:ptCount val="31"/>
                <c:pt idx="0">
                  <c:v>400000</c:v>
                </c:pt>
                <c:pt idx="1">
                  <c:v>494400</c:v>
                </c:pt>
                <c:pt idx="2">
                  <c:v>596352</c:v>
                </c:pt>
                <c:pt idx="3">
                  <c:v>706460.16000000003</c:v>
                </c:pt>
                <c:pt idx="4">
                  <c:v>825376.97279999999</c:v>
                </c:pt>
                <c:pt idx="5">
                  <c:v>953807.13062399998</c:v>
                </c:pt>
                <c:pt idx="6">
                  <c:v>1092511.7010739199</c:v>
                </c:pt>
                <c:pt idx="7">
                  <c:v>1242312.6371598335</c:v>
                </c:pt>
                <c:pt idx="8">
                  <c:v>1404097.6481326201</c:v>
                </c:pt>
                <c:pt idx="9">
                  <c:v>1578825.4599832296</c:v>
                </c:pt>
                <c:pt idx="10">
                  <c:v>1767531.496781888</c:v>
                </c:pt>
                <c:pt idx="11">
                  <c:v>1971334.016524439</c:v>
                </c:pt>
                <c:pt idx="12">
                  <c:v>2191440.7378463941</c:v>
                </c:pt>
                <c:pt idx="13">
                  <c:v>2429155.9968741057</c:v>
                </c:pt>
                <c:pt idx="14">
                  <c:v>2685888.4766240343</c:v>
                </c:pt>
                <c:pt idx="15">
                  <c:v>2963159.5547539573</c:v>
                </c:pt>
                <c:pt idx="16">
                  <c:v>3262612.319134274</c:v>
                </c:pt>
                <c:pt idx="17">
                  <c:v>3586021.304665016</c:v>
                </c:pt>
                <c:pt idx="18">
                  <c:v>3935303.0090382174</c:v>
                </c:pt>
                <c:pt idx="19">
                  <c:v>4312527.249761275</c:v>
                </c:pt>
                <c:pt idx="20">
                  <c:v>4719929.429742177</c:v>
                </c:pt>
                <c:pt idx="21">
                  <c:v>5159923.7841215516</c:v>
                </c:pt>
                <c:pt idx="22">
                  <c:v>5635117.6868512761</c:v>
                </c:pt>
                <c:pt idx="23">
                  <c:v>6148327.1017993782</c:v>
                </c:pt>
                <c:pt idx="24">
                  <c:v>6702593.2699433286</c:v>
                </c:pt>
                <c:pt idx="25">
                  <c:v>7301200.7315387949</c:v>
                </c:pt>
                <c:pt idx="26">
                  <c:v>7947696.7900618985</c:v>
                </c:pt>
                <c:pt idx="27">
                  <c:v>8645912.5332668498</c:v>
                </c:pt>
                <c:pt idx="28">
                  <c:v>9399985.5359281972</c:v>
                </c:pt>
                <c:pt idx="29">
                  <c:v>10214384.378802452</c:v>
                </c:pt>
                <c:pt idx="30">
                  <c:v>11093935.129106648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07-4816-BA68-56D16AB2E988}"/>
            </c:ext>
          </c:extLst>
        </c:ser>
        <c:ser>
          <c:idx val="5"/>
          <c:order val="5"/>
          <c:tx>
            <c:v>目标自由资产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年度路径!$G$5:$G$35</c:f>
              <c:numCache>
                <c:formatCode>#,##0;[Red]\(#,##0\);\-</c:formatCode>
                <c:ptCount val="31"/>
                <c:pt idx="0">
                  <c:v>3000000</c:v>
                </c:pt>
                <c:pt idx="1">
                  <c:v>3000000</c:v>
                </c:pt>
                <c:pt idx="2">
                  <c:v>3000000</c:v>
                </c:pt>
                <c:pt idx="3">
                  <c:v>3000000</c:v>
                </c:pt>
                <c:pt idx="4">
                  <c:v>3000000</c:v>
                </c:pt>
                <c:pt idx="5">
                  <c:v>3000000</c:v>
                </c:pt>
                <c:pt idx="6">
                  <c:v>3000000</c:v>
                </c:pt>
                <c:pt idx="7">
                  <c:v>3000000</c:v>
                </c:pt>
                <c:pt idx="8">
                  <c:v>3000000</c:v>
                </c:pt>
                <c:pt idx="9">
                  <c:v>3000000</c:v>
                </c:pt>
                <c:pt idx="10">
                  <c:v>3000000</c:v>
                </c:pt>
                <c:pt idx="11">
                  <c:v>3000000</c:v>
                </c:pt>
                <c:pt idx="12">
                  <c:v>3000000</c:v>
                </c:pt>
                <c:pt idx="13">
                  <c:v>3000000</c:v>
                </c:pt>
                <c:pt idx="14">
                  <c:v>3000000</c:v>
                </c:pt>
                <c:pt idx="15">
                  <c:v>3000000</c:v>
                </c:pt>
                <c:pt idx="16">
                  <c:v>3000000</c:v>
                </c:pt>
                <c:pt idx="17">
                  <c:v>3000000</c:v>
                </c:pt>
                <c:pt idx="18">
                  <c:v>3000000</c:v>
                </c:pt>
                <c:pt idx="19">
                  <c:v>3000000</c:v>
                </c:pt>
                <c:pt idx="20">
                  <c:v>3000000</c:v>
                </c:pt>
                <c:pt idx="21">
                  <c:v>3000000</c:v>
                </c:pt>
                <c:pt idx="22">
                  <c:v>3000000</c:v>
                </c:pt>
                <c:pt idx="23">
                  <c:v>3000000</c:v>
                </c:pt>
                <c:pt idx="24">
                  <c:v>3000000</c:v>
                </c:pt>
                <c:pt idx="25">
                  <c:v>3000000</c:v>
                </c:pt>
                <c:pt idx="26">
                  <c:v>3000000</c:v>
                </c:pt>
                <c:pt idx="27">
                  <c:v>3000000</c:v>
                </c:pt>
                <c:pt idx="28">
                  <c:v>3000000</c:v>
                </c:pt>
                <c:pt idx="29">
                  <c:v>3000000</c:v>
                </c:pt>
                <c:pt idx="30">
                  <c:v>3000000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07-4816-BA68-56D16AB2E988}"/>
            </c:ext>
          </c:extLst>
        </c:ser>
        <c:ser>
          <c:idx val="6"/>
          <c:order val="6"/>
          <c:tx>
            <c:v>达成进度</c:v>
          </c:tx>
          <c:cat>
            <c:numRef>
              <c:f>年度路径!$A$5:$A$35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年度路径!$H$5:$H$35</c:f>
              <c:numCache>
                <c:formatCode>0.0%;[Red]\(0.0%\);\-</c:formatCode>
                <c:ptCount val="31"/>
                <c:pt idx="0">
                  <c:v>0.13333333333333333</c:v>
                </c:pt>
                <c:pt idx="1">
                  <c:v>0.1648</c:v>
                </c:pt>
                <c:pt idx="2">
                  <c:v>0.19878399999999999</c:v>
                </c:pt>
                <c:pt idx="3">
                  <c:v>0.23548672000000001</c:v>
                </c:pt>
                <c:pt idx="4">
                  <c:v>0.27512565760000002</c:v>
                </c:pt>
                <c:pt idx="5">
                  <c:v>0.31793571020799999</c:v>
                </c:pt>
                <c:pt idx="6">
                  <c:v>0.36417056702463996</c:v>
                </c:pt>
                <c:pt idx="7">
                  <c:v>0.41410421238661116</c:v>
                </c:pt>
                <c:pt idx="8">
                  <c:v>0.46803254937754007</c:v>
                </c:pt>
                <c:pt idx="9">
                  <c:v>0.52627515332774322</c:v>
                </c:pt>
                <c:pt idx="10">
                  <c:v>0.5891771655939626</c:v>
                </c:pt>
                <c:pt idx="11">
                  <c:v>0.65711133884147965</c:v>
                </c:pt>
                <c:pt idx="12">
                  <c:v>0.73048024594879801</c:v>
                </c:pt>
                <c:pt idx="13">
                  <c:v>0.80971866562470185</c:v>
                </c:pt>
                <c:pt idx="14">
                  <c:v>0.89529615887467806</c:v>
                </c:pt>
                <c:pt idx="15">
                  <c:v>0.98771985158465248</c:v>
                </c:pt>
                <c:pt idx="16">
                  <c:v>1.0875374397114246</c:v>
                </c:pt>
                <c:pt idx="17">
                  <c:v>1.1953404348883387</c:v>
                </c:pt>
                <c:pt idx="18">
                  <c:v>1.3117676696794058</c:v>
                </c:pt>
                <c:pt idx="19">
                  <c:v>1.4375090832537583</c:v>
                </c:pt>
                <c:pt idx="20">
                  <c:v>1.573309809914059</c:v>
                </c:pt>
                <c:pt idx="21">
                  <c:v>1.7199745947071838</c:v>
                </c:pt>
                <c:pt idx="22">
                  <c:v>1.8783725622837586</c:v>
                </c:pt>
                <c:pt idx="23">
                  <c:v>2.0494423672664595</c:v>
                </c:pt>
                <c:pt idx="24">
                  <c:v>2.234197756647776</c:v>
                </c:pt>
                <c:pt idx="25">
                  <c:v>2.4337335771795985</c:v>
                </c:pt>
                <c:pt idx="26">
                  <c:v>2.6492322633539662</c:v>
                </c:pt>
                <c:pt idx="27">
                  <c:v>2.8819708444222831</c:v>
                </c:pt>
                <c:pt idx="28">
                  <c:v>3.1333285119760657</c:v>
                </c:pt>
                <c:pt idx="29">
                  <c:v>3.4047947929341507</c:v>
                </c:pt>
                <c:pt idx="30">
                  <c:v>3.6979783763688827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07-4816-BA68-56D16AB2E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etAllocationTable" displayName="AssetAllocationTable" ref="A4:J12">
  <tableColumns count="10">
    <tableColumn id="1" xr3:uid="{00000000-0010-0000-0000-000001000000}" name="资产类别"/>
    <tableColumn id="2" xr3:uid="{00000000-0010-0000-0000-000002000000}" name="功能定位"/>
    <tableColumn id="3" xr3:uid="{00000000-0010-0000-0000-000003000000}" name="示例产品/方向"/>
    <tableColumn id="4" xr3:uid="{00000000-0010-0000-0000-000004000000}" name="目标比例"/>
    <tableColumn id="5" xr3:uid="{00000000-0010-0000-0000-000005000000}" name="当前金额"/>
    <tableColumn id="6" xr3:uid="{00000000-0010-0000-0000-000006000000}" name="当前比例"/>
    <tableColumn id="7" xr3:uid="{00000000-0010-0000-0000-000007000000}" name="目标金额"/>
    <tableColumn id="8" xr3:uid="{00000000-0010-0000-0000-000008000000}" name="偏离比例"/>
    <tableColumn id="9" xr3:uid="{00000000-0010-0000-0000-000009000000}" name="需调整金额"/>
    <tableColumn id="10" xr3:uid="{00000000-0010-0000-0000-00000A000000}" name="系统动作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workbookViewId="0">
      <selection activeCell="C19" sqref="C19"/>
    </sheetView>
  </sheetViews>
  <sheetFormatPr defaultRowHeight="14.25"/>
  <cols>
    <col min="1" max="1" width="18" customWidth="1"/>
    <col min="2" max="3" width="34" customWidth="1"/>
    <col min="4" max="4" width="22" customWidth="1"/>
    <col min="5" max="8" width="18" customWidth="1"/>
  </cols>
  <sheetData>
    <row r="1" spans="1:26" ht="36" customHeight="1">
      <c r="A1" s="32" t="s">
        <v>0</v>
      </c>
      <c r="B1" s="33"/>
      <c r="C1" s="33"/>
      <c r="D1" s="33"/>
      <c r="E1" s="33"/>
      <c r="F1" s="33"/>
      <c r="G1" s="33"/>
      <c r="H1" s="3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1</v>
      </c>
      <c r="B2" s="33"/>
      <c r="C2" s="33"/>
      <c r="D2" s="33"/>
      <c r="E2" s="33"/>
      <c r="F2" s="33"/>
      <c r="G2" s="33"/>
      <c r="H2" s="3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3">
      <c r="A4" s="1" t="s">
        <v>2</v>
      </c>
      <c r="B4" s="2" t="s">
        <v>3</v>
      </c>
      <c r="C4" s="2" t="s">
        <v>4</v>
      </c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>
      <c r="A5" s="1" t="s">
        <v>5</v>
      </c>
      <c r="B5" s="2" t="s">
        <v>6</v>
      </c>
      <c r="C5" s="2" t="s">
        <v>7</v>
      </c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9.5">
      <c r="A6" s="1" t="s">
        <v>8</v>
      </c>
      <c r="B6" s="2" t="s">
        <v>9</v>
      </c>
      <c r="C6" s="2" t="s">
        <v>10</v>
      </c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>
      <c r="A7" s="1" t="s">
        <v>11</v>
      </c>
      <c r="B7" s="2" t="s">
        <v>12</v>
      </c>
      <c r="C7" s="2" t="s">
        <v>13</v>
      </c>
      <c r="D7" s="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>
      <c r="A8" s="1" t="s">
        <v>14</v>
      </c>
      <c r="B8" s="2" t="s">
        <v>15</v>
      </c>
      <c r="C8" s="2" t="s">
        <v>16</v>
      </c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2">
    <mergeCell ref="A1:H1"/>
    <mergeCell ref="A2:H2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tabSelected="1" workbookViewId="0">
      <selection activeCell="H8" sqref="H8"/>
    </sheetView>
  </sheetViews>
  <sheetFormatPr defaultRowHeight="14.25"/>
  <cols>
    <col min="1" max="1" width="22" customWidth="1"/>
    <col min="2" max="2" width="16" customWidth="1"/>
    <col min="3" max="4" width="14" customWidth="1"/>
    <col min="5" max="5" width="24" customWidth="1"/>
    <col min="6" max="8" width="17" customWidth="1"/>
    <col min="9" max="9" width="18" customWidth="1"/>
    <col min="10" max="10" width="22" customWidth="1"/>
  </cols>
  <sheetData>
    <row r="1" spans="1:26" ht="36" customHeight="1">
      <c r="A1" s="32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3" t="s">
        <v>19</v>
      </c>
      <c r="B4" s="3" t="s">
        <v>20</v>
      </c>
      <c r="C4" s="3" t="s">
        <v>21</v>
      </c>
      <c r="D4" s="3" t="s">
        <v>22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>
      <c r="A5" s="5" t="s">
        <v>23</v>
      </c>
      <c r="B5" s="11">
        <v>10000</v>
      </c>
      <c r="C5" s="6" t="s">
        <v>24</v>
      </c>
      <c r="D5" s="6" t="s">
        <v>25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>
      <c r="A6" s="5" t="s">
        <v>26</v>
      </c>
      <c r="B6" s="11">
        <v>6</v>
      </c>
      <c r="C6" s="6" t="s">
        <v>27</v>
      </c>
      <c r="D6" s="6" t="s">
        <v>28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>
      <c r="A7" s="5" t="s">
        <v>29</v>
      </c>
      <c r="B7" s="11">
        <v>5000</v>
      </c>
      <c r="C7" s="6" t="s">
        <v>24</v>
      </c>
      <c r="D7" s="6" t="s">
        <v>30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>
      <c r="A8" s="5" t="s">
        <v>31</v>
      </c>
      <c r="B8" s="11">
        <v>0</v>
      </c>
      <c r="C8" s="6" t="s">
        <v>32</v>
      </c>
      <c r="D8" s="6" t="s">
        <v>33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3">
      <c r="A9" s="5" t="s">
        <v>34</v>
      </c>
      <c r="B9" s="12">
        <v>0.08</v>
      </c>
      <c r="C9" s="6" t="s">
        <v>35</v>
      </c>
      <c r="D9" s="6" t="s">
        <v>36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">
      <c r="A10" s="5" t="s">
        <v>37</v>
      </c>
      <c r="B10" s="12">
        <v>0.04</v>
      </c>
      <c r="C10" s="6" t="s">
        <v>35</v>
      </c>
      <c r="D10" s="6" t="s">
        <v>38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9.5">
      <c r="A11" s="5" t="s">
        <v>39</v>
      </c>
      <c r="B11" s="12">
        <v>0.05</v>
      </c>
      <c r="C11" s="6" t="s">
        <v>35</v>
      </c>
      <c r="D11" s="6" t="s">
        <v>40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5" t="s">
        <v>41</v>
      </c>
      <c r="B12" s="13">
        <v>39</v>
      </c>
      <c r="C12" s="6" t="s">
        <v>42</v>
      </c>
      <c r="D12" s="6" t="s">
        <v>43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5" t="s">
        <v>44</v>
      </c>
      <c r="B13" s="13">
        <v>50</v>
      </c>
      <c r="C13" s="6" t="s">
        <v>42</v>
      </c>
      <c r="D13" s="6" t="s">
        <v>45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7.95" customHeight="1">
      <c r="A16" s="3" t="s">
        <v>46</v>
      </c>
      <c r="B16" s="3" t="s">
        <v>47</v>
      </c>
      <c r="C16" s="3" t="s">
        <v>48</v>
      </c>
      <c r="D16" s="3" t="s">
        <v>49</v>
      </c>
      <c r="E16" s="3" t="s">
        <v>50</v>
      </c>
      <c r="F16" s="3" t="s">
        <v>51</v>
      </c>
      <c r="G16" s="3" t="s">
        <v>52</v>
      </c>
      <c r="H16" s="3" t="s">
        <v>53</v>
      </c>
      <c r="I16" s="3" t="s">
        <v>54</v>
      </c>
      <c r="J16" s="3" t="s">
        <v>55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7.95" customHeight="1">
      <c r="A17" s="7" t="s">
        <v>56</v>
      </c>
      <c r="B17" s="7" t="s">
        <v>57</v>
      </c>
      <c r="C17" s="7" t="s">
        <v>58</v>
      </c>
      <c r="D17" s="12">
        <v>0.1</v>
      </c>
      <c r="E17" s="11">
        <v>60000</v>
      </c>
      <c r="F17" s="8">
        <f t="shared" ref="F17:F23" si="0">IFERROR(E17/SUM($E$17:$E$23),0)</f>
        <v>0.15</v>
      </c>
      <c r="G17" s="8">
        <f t="shared" ref="G17:G23" si="1">SUM($E$17:$E$23)*D17</f>
        <v>40000</v>
      </c>
      <c r="H17" s="8">
        <f t="shared" ref="H17:I23" si="2">F17-D17</f>
        <v>4.9999999999999989E-2</v>
      </c>
      <c r="I17" s="9">
        <f t="shared" si="2"/>
        <v>-20000</v>
      </c>
      <c r="J17" s="10" t="str">
        <f t="shared" ref="J17:J23" si="3">IF(ABS(H17)&lt;=$B$11,"保持",IF(H17&gt;0,"偏高：暂停新增/考虑再平衡","偏低：优先补足"))</f>
        <v>保持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7.95" customHeight="1">
      <c r="A18" s="7" t="s">
        <v>59</v>
      </c>
      <c r="B18" s="7" t="s">
        <v>60</v>
      </c>
      <c r="C18" s="7" t="s">
        <v>61</v>
      </c>
      <c r="D18" s="12">
        <v>0.1</v>
      </c>
      <c r="E18" s="11">
        <v>30000</v>
      </c>
      <c r="F18" s="8">
        <f t="shared" si="0"/>
        <v>7.4999999999999997E-2</v>
      </c>
      <c r="G18" s="8">
        <f t="shared" si="1"/>
        <v>40000</v>
      </c>
      <c r="H18" s="8">
        <f t="shared" si="2"/>
        <v>-2.5000000000000008E-2</v>
      </c>
      <c r="I18" s="9">
        <f t="shared" si="2"/>
        <v>10000</v>
      </c>
      <c r="J18" s="10" t="str">
        <f t="shared" si="3"/>
        <v>保持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7.95" customHeight="1">
      <c r="A19" s="7" t="s">
        <v>62</v>
      </c>
      <c r="B19" s="7" t="s">
        <v>63</v>
      </c>
      <c r="C19" s="7" t="s">
        <v>64</v>
      </c>
      <c r="D19" s="12">
        <v>0.3</v>
      </c>
      <c r="E19" s="11">
        <v>120000</v>
      </c>
      <c r="F19" s="8">
        <f t="shared" si="0"/>
        <v>0.3</v>
      </c>
      <c r="G19" s="8">
        <f t="shared" si="1"/>
        <v>120000</v>
      </c>
      <c r="H19" s="8">
        <f t="shared" si="2"/>
        <v>0</v>
      </c>
      <c r="I19" s="9">
        <f t="shared" si="2"/>
        <v>0</v>
      </c>
      <c r="J19" s="10" t="str">
        <f t="shared" si="3"/>
        <v>保持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7.95" customHeight="1">
      <c r="A20" s="7" t="s">
        <v>65</v>
      </c>
      <c r="B20" s="7" t="s">
        <v>66</v>
      </c>
      <c r="C20" s="7" t="s">
        <v>67</v>
      </c>
      <c r="D20" s="12">
        <v>0.25</v>
      </c>
      <c r="E20" s="11">
        <v>100000</v>
      </c>
      <c r="F20" s="8">
        <f t="shared" si="0"/>
        <v>0.25</v>
      </c>
      <c r="G20" s="8">
        <f t="shared" si="1"/>
        <v>100000</v>
      </c>
      <c r="H20" s="8">
        <f t="shared" si="2"/>
        <v>0</v>
      </c>
      <c r="I20" s="9">
        <f t="shared" si="2"/>
        <v>0</v>
      </c>
      <c r="J20" s="10" t="str">
        <f t="shared" si="3"/>
        <v>保持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7.95" customHeight="1">
      <c r="A21" s="7" t="s">
        <v>68</v>
      </c>
      <c r="B21" s="7" t="s">
        <v>69</v>
      </c>
      <c r="C21" s="7" t="s">
        <v>70</v>
      </c>
      <c r="D21" s="12">
        <v>0.15</v>
      </c>
      <c r="E21" s="11">
        <v>50000</v>
      </c>
      <c r="F21" s="8">
        <f t="shared" si="0"/>
        <v>0.125</v>
      </c>
      <c r="G21" s="8">
        <f t="shared" si="1"/>
        <v>60000</v>
      </c>
      <c r="H21" s="8">
        <f t="shared" si="2"/>
        <v>-2.4999999999999994E-2</v>
      </c>
      <c r="I21" s="9">
        <f t="shared" si="2"/>
        <v>10000</v>
      </c>
      <c r="J21" s="10" t="str">
        <f t="shared" si="3"/>
        <v>保持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7.95" customHeight="1">
      <c r="A22" s="7" t="s">
        <v>71</v>
      </c>
      <c r="B22" s="7" t="s">
        <v>72</v>
      </c>
      <c r="C22" s="7" t="s">
        <v>73</v>
      </c>
      <c r="D22" s="12">
        <v>0.1</v>
      </c>
      <c r="E22" s="11">
        <v>40000</v>
      </c>
      <c r="F22" s="8">
        <f t="shared" si="0"/>
        <v>0.1</v>
      </c>
      <c r="G22" s="8">
        <f t="shared" si="1"/>
        <v>40000</v>
      </c>
      <c r="H22" s="8">
        <f t="shared" si="2"/>
        <v>0</v>
      </c>
      <c r="I22" s="9">
        <f t="shared" si="2"/>
        <v>0</v>
      </c>
      <c r="J22" s="10" t="str">
        <f t="shared" si="3"/>
        <v>保持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7.95" customHeight="1">
      <c r="A23" s="7" t="s">
        <v>74</v>
      </c>
      <c r="B23" s="7" t="s">
        <v>75</v>
      </c>
      <c r="C23" s="7" t="s">
        <v>76</v>
      </c>
      <c r="D23" s="12">
        <v>0</v>
      </c>
      <c r="E23" s="11">
        <v>0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9">
        <f t="shared" si="2"/>
        <v>0</v>
      </c>
      <c r="J23" s="10" t="str">
        <f t="shared" si="3"/>
        <v>保持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7.95" customHeight="1">
      <c r="A24" s="14" t="s">
        <v>77</v>
      </c>
      <c r="B24" s="14"/>
      <c r="C24" s="14"/>
      <c r="D24" s="15">
        <f>SUM(D17:D23)</f>
        <v>1</v>
      </c>
      <c r="E24" s="16">
        <f>SUM(E17:E23)</f>
        <v>400000</v>
      </c>
      <c r="F24" s="15">
        <f>SUM(F17:F23)</f>
        <v>0.99999999999999989</v>
      </c>
      <c r="G24" s="15">
        <f>SUM(G17:G23)</f>
        <v>400000</v>
      </c>
      <c r="H24" s="15"/>
      <c r="I24" s="16">
        <f>SUM(I17:I23)</f>
        <v>0</v>
      </c>
      <c r="J24" s="1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2">
    <mergeCell ref="A1:J1"/>
    <mergeCell ref="A2:J2"/>
  </mergeCells>
  <phoneticPr fontId="10" type="noConversion"/>
  <conditionalFormatting sqref="D17:D23">
    <cfRule type="dataBar" priority="1">
      <dataBar>
        <cfvo type="min"/>
        <cfvo type="max"/>
        <color rgb="FFD9A441"/>
      </dataBar>
    </cfRule>
    <cfRule type="dataBar" priority="4">
      <dataBar>
        <cfvo type="min"/>
        <cfvo type="max"/>
        <color rgb="FFD9A441"/>
      </dataBar>
      <extLst>
        <ext xmlns:x14="http://schemas.microsoft.com/office/spreadsheetml/2009/9/main" uri="{B025F937-C7B1-47D3-B67F-A62EFF666E3E}">
          <x14:id>{264627C0-9E4D-3AE0-C1F6-C543D17F41AB}</x14:id>
        </ext>
      </extLst>
    </cfRule>
  </conditionalFormatting>
  <conditionalFormatting sqref="H17:H23">
    <cfRule type="cellIs" dxfId="1" priority="2" operator="greaterThan">
      <formula>$B$11</formula>
    </cfRule>
    <cfRule type="cellIs" dxfId="0" priority="3" operator="lessThan">
      <formula>-$B$11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4627C0-9E4D-3AE0-C1F6-C543D17F41AB}">
            <x14:dataBar>
              <x14:cfvo type="min"/>
              <x14:cfvo type="max"/>
              <x14:negativeFillColor auto="1"/>
              <x14:axisColor auto="1"/>
            </x14:dataBar>
          </x14:cfRule>
          <xm:sqref>D17:D23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topLeftCell="A13" workbookViewId="0">
      <selection activeCell="D40" sqref="D40"/>
    </sheetView>
  </sheetViews>
  <sheetFormatPr defaultRowHeight="14.25"/>
  <cols>
    <col min="1" max="12" width="18" customWidth="1"/>
    <col min="13" max="13" width="16" customWidth="1"/>
    <col min="14" max="16" width="14" customWidth="1"/>
  </cols>
  <sheetData>
    <row r="1" spans="1:26" ht="36" customHeight="1">
      <c r="A1" s="32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9" t="s">
        <v>46</v>
      </c>
      <c r="N2" s="19" t="s">
        <v>51</v>
      </c>
      <c r="O2" s="19" t="s">
        <v>49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9" t="str">
        <f>输入区!A17</f>
        <v>应急金/现金类</v>
      </c>
      <c r="N3" s="20">
        <f>输入区!F17</f>
        <v>0.15</v>
      </c>
      <c r="O3" s="20">
        <f>输入区!D17</f>
        <v>0.1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5" t="s">
        <v>80</v>
      </c>
      <c r="B4" s="21">
        <f>SUM(输入区!$E$17:$E$23)</f>
        <v>400000</v>
      </c>
      <c r="C4" s="22" t="s">
        <v>81</v>
      </c>
      <c r="D4" s="4"/>
      <c r="E4" s="35" t="s">
        <v>82</v>
      </c>
      <c r="F4" s="33"/>
      <c r="G4" s="33"/>
      <c r="H4" s="33"/>
      <c r="I4" s="33"/>
      <c r="J4" s="33"/>
      <c r="K4" s="33"/>
      <c r="L4" s="33"/>
      <c r="M4" s="19" t="str">
        <f>输入区!A18</f>
        <v>稳健储备/债券类</v>
      </c>
      <c r="N4" s="20">
        <f>输入区!F18</f>
        <v>7.4999999999999997E-2</v>
      </c>
      <c r="O4" s="20">
        <f>输入区!D18</f>
        <v>0.1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>
      <c r="A5" s="5" t="s">
        <v>83</v>
      </c>
      <c r="B5" s="21">
        <f>(输入区!$B$5*12)/输入区!$B$10</f>
        <v>3000000</v>
      </c>
      <c r="C5" s="22" t="s">
        <v>81</v>
      </c>
      <c r="D5" s="4"/>
      <c r="E5" s="23" t="s">
        <v>84</v>
      </c>
      <c r="F5" s="2" t="str">
        <f>IF(B8&gt;=输入区!$B$6,"达标：可以稳定执行长期投资","未达标：先补足应急金，再提高权益仓位")</f>
        <v>达标：可以稳定执行长期投资</v>
      </c>
      <c r="G5" s="4"/>
      <c r="H5" s="4"/>
      <c r="I5" s="4"/>
      <c r="J5" s="4"/>
      <c r="K5" s="4"/>
      <c r="L5" s="4"/>
      <c r="M5" s="19" t="str">
        <f>输入区!A19</f>
        <v>A股宽基</v>
      </c>
      <c r="N5" s="20">
        <f>输入区!F19</f>
        <v>0.3</v>
      </c>
      <c r="O5" s="20">
        <f>输入区!D19</f>
        <v>0.3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>
      <c r="A6" s="5" t="s">
        <v>85</v>
      </c>
      <c r="B6" s="24">
        <f>B4/B5</f>
        <v>0.13333333333333333</v>
      </c>
      <c r="C6" s="22" t="s">
        <v>35</v>
      </c>
      <c r="D6" s="4"/>
      <c r="E6" s="23" t="s">
        <v>86</v>
      </c>
      <c r="F6" s="2" t="str">
        <f>IF(ABS(SUM(输入区!$D$17:$D$23)-1)&lt;=0.001,"目标比例合计为 100%，可正常使用","目标比例合计不是 100%，请回到输入区调整")</f>
        <v>目标比例合计为 100%，可正常使用</v>
      </c>
      <c r="G6" s="4"/>
      <c r="H6" s="4"/>
      <c r="I6" s="4"/>
      <c r="J6" s="4"/>
      <c r="K6" s="4"/>
      <c r="L6" s="4"/>
      <c r="M6" s="19" t="str">
        <f>输入区!A20</f>
        <v>海外宽基</v>
      </c>
      <c r="N6" s="20">
        <f>输入区!F20</f>
        <v>0.25</v>
      </c>
      <c r="O6" s="20">
        <f>输入区!D20</f>
        <v>0.25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>
      <c r="A7" s="5" t="s">
        <v>87</v>
      </c>
      <c r="B7" s="21">
        <f>输入区!$B$5*输入区!$B$6</f>
        <v>60000</v>
      </c>
      <c r="C7" s="22" t="s">
        <v>81</v>
      </c>
      <c r="D7" s="4"/>
      <c r="E7" s="23" t="s">
        <v>88</v>
      </c>
      <c r="F7" s="2" t="str">
        <f>IF(MAX(MAX(输入区!$H$17:$H$23),-MIN(输入区!$H$17:$H$23))&gt;输入区!$B$11,"有资产偏离超过阈值，优先看再平衡计划","整体偏离可接受，按月定投即可")</f>
        <v>整体偏离可接受，按月定投即可</v>
      </c>
      <c r="G7" s="4"/>
      <c r="H7" s="4"/>
      <c r="I7" s="4"/>
      <c r="J7" s="4"/>
      <c r="K7" s="4"/>
      <c r="L7" s="4"/>
      <c r="M7" s="19" t="str">
        <f>输入区!A21</f>
        <v>成长增强</v>
      </c>
      <c r="N7" s="20">
        <f>输入区!F21</f>
        <v>0.125</v>
      </c>
      <c r="O7" s="20">
        <f>输入区!D21</f>
        <v>0.15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>
      <c r="A8" s="5" t="s">
        <v>89</v>
      </c>
      <c r="B8" s="25">
        <f>IFERROR(输入区!$E$17/输入区!$B$5,0)</f>
        <v>6</v>
      </c>
      <c r="C8" s="22" t="s">
        <v>27</v>
      </c>
      <c r="D8" s="4"/>
      <c r="E8" s="23" t="s">
        <v>90</v>
      </c>
      <c r="F8" s="2" t="str">
        <f>IF(B6&gt;=1,"已达到自由资产目标，重点转向守纪律和低频再平衡","仍处于积累期，重点提高储蓄率与持续投入")</f>
        <v>仍处于积累期，重点提高储蓄率与持续投入</v>
      </c>
      <c r="G8" s="4"/>
      <c r="H8" s="4"/>
      <c r="I8" s="4"/>
      <c r="J8" s="4"/>
      <c r="K8" s="4"/>
      <c r="L8" s="4"/>
      <c r="M8" s="19" t="str">
        <f>输入区!A22</f>
        <v>黄金</v>
      </c>
      <c r="N8" s="20">
        <f>输入区!F22</f>
        <v>0.1</v>
      </c>
      <c r="O8" s="20">
        <f>输入区!D22</f>
        <v>0.1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>
      <c r="A9" s="5" t="s">
        <v>91</v>
      </c>
      <c r="B9" s="21">
        <f>输入区!$B$7*12+输入区!$B$8</f>
        <v>60000</v>
      </c>
      <c r="C9" s="22" t="s">
        <v>81</v>
      </c>
      <c r="D9" s="4"/>
      <c r="E9" s="4"/>
      <c r="F9" s="4"/>
      <c r="G9" s="4"/>
      <c r="H9" s="4"/>
      <c r="I9" s="4"/>
      <c r="J9" s="4"/>
      <c r="K9" s="4"/>
      <c r="L9" s="4"/>
      <c r="M9" s="19" t="str">
        <f>输入区!A23</f>
        <v>其他长期资产</v>
      </c>
      <c r="N9" s="20">
        <f>输入区!F23</f>
        <v>0</v>
      </c>
      <c r="O9" s="20">
        <f>输入区!D23</f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>
      <c r="A10" s="5" t="s">
        <v>92</v>
      </c>
      <c r="B10" s="24">
        <f>SUM(输入区!$F$19:$F$21)+SUM(输入区!$F$23)</f>
        <v>0.67500000000000004</v>
      </c>
      <c r="C10" s="22" t="s">
        <v>35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5" t="s">
        <v>93</v>
      </c>
      <c r="B11" s="24">
        <f>输入区!$F$17+输入区!$F$18+输入区!$F$22</f>
        <v>0.32499999999999996</v>
      </c>
      <c r="C11" s="22" t="s">
        <v>35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4"/>
      <c r="B14" s="4"/>
      <c r="C14" s="4"/>
      <c r="D14" s="4"/>
      <c r="E14" s="4"/>
      <c r="F14" s="4"/>
      <c r="G14" s="35" t="s">
        <v>94</v>
      </c>
      <c r="H14" s="33"/>
      <c r="I14" s="33"/>
      <c r="J14" s="33"/>
      <c r="K14" s="33"/>
      <c r="L14" s="3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4"/>
      <c r="B15" s="4"/>
      <c r="C15" s="4"/>
      <c r="D15" s="4"/>
      <c r="E15" s="4"/>
      <c r="F15" s="4"/>
      <c r="G15" s="3" t="s">
        <v>46</v>
      </c>
      <c r="H15" s="3" t="s">
        <v>53</v>
      </c>
      <c r="I15" s="3" t="s">
        <v>95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>
      <c r="A16" s="4"/>
      <c r="B16" s="4"/>
      <c r="C16" s="4"/>
      <c r="D16" s="4"/>
      <c r="E16" s="4"/>
      <c r="F16" s="4"/>
      <c r="G16" s="17" t="str">
        <f>输入区!A17</f>
        <v>应急金/现金类</v>
      </c>
      <c r="H16" s="18">
        <f>输入区!H17</f>
        <v>4.9999999999999989E-2</v>
      </c>
      <c r="I16" s="17" t="str">
        <f>输入区!J17</f>
        <v>保持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4"/>
      <c r="B17" s="4"/>
      <c r="C17" s="4"/>
      <c r="D17" s="4"/>
      <c r="E17" s="4"/>
      <c r="F17" s="4"/>
      <c r="G17" s="17" t="str">
        <f>输入区!A18</f>
        <v>稳健储备/债券类</v>
      </c>
      <c r="H17" s="18">
        <f>输入区!H18</f>
        <v>-2.5000000000000008E-2</v>
      </c>
      <c r="I17" s="17" t="str">
        <f>输入区!J18</f>
        <v>保持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4"/>
      <c r="B18" s="4"/>
      <c r="C18" s="4"/>
      <c r="D18" s="4"/>
      <c r="E18" s="4"/>
      <c r="F18" s="4"/>
      <c r="G18" s="17" t="str">
        <f>输入区!A19</f>
        <v>A股宽基</v>
      </c>
      <c r="H18" s="18">
        <f>输入区!H19</f>
        <v>0</v>
      </c>
      <c r="I18" s="17" t="str">
        <f>输入区!J19</f>
        <v>保持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4"/>
      <c r="B19" s="4"/>
      <c r="C19" s="4"/>
      <c r="D19" s="4"/>
      <c r="E19" s="4"/>
      <c r="F19" s="4"/>
      <c r="G19" s="17" t="str">
        <f>输入区!A20</f>
        <v>海外宽基</v>
      </c>
      <c r="H19" s="18">
        <f>输入区!H20</f>
        <v>0</v>
      </c>
      <c r="I19" s="17" t="str">
        <f>输入区!J20</f>
        <v>保持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4"/>
      <c r="B20" s="4"/>
      <c r="C20" s="4"/>
      <c r="D20" s="4"/>
      <c r="E20" s="4"/>
      <c r="F20" s="4"/>
      <c r="G20" s="17" t="str">
        <f>输入区!A21</f>
        <v>成长增强</v>
      </c>
      <c r="H20" s="18">
        <f>输入区!H21</f>
        <v>-2.4999999999999994E-2</v>
      </c>
      <c r="I20" s="17" t="str">
        <f>输入区!J21</f>
        <v>保持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4"/>
      <c r="B21" s="4"/>
      <c r="C21" s="4"/>
      <c r="D21" s="4"/>
      <c r="E21" s="4"/>
      <c r="F21" s="4"/>
      <c r="G21" s="17" t="str">
        <f>输入区!A22</f>
        <v>黄金</v>
      </c>
      <c r="H21" s="18">
        <f>输入区!H22</f>
        <v>0</v>
      </c>
      <c r="I21" s="17" t="str">
        <f>输入区!J22</f>
        <v>保持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4"/>
      <c r="B22" s="4"/>
      <c r="C22" s="4"/>
      <c r="D22" s="4"/>
      <c r="E22" s="4"/>
      <c r="F22" s="4"/>
      <c r="G22" s="17" t="str">
        <f>输入区!A23</f>
        <v>其他长期资产</v>
      </c>
      <c r="H22" s="18">
        <f>输入区!H23</f>
        <v>0</v>
      </c>
      <c r="I22" s="17" t="str">
        <f>输入区!J23</f>
        <v>保持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4">
    <mergeCell ref="A1:L1"/>
    <mergeCell ref="A2:L2"/>
    <mergeCell ref="E4:L4"/>
    <mergeCell ref="G14:L14"/>
  </mergeCells>
  <phoneticPr fontId="10" type="noConversion"/>
  <conditionalFormatting sqref="H16:H22">
    <cfRule type="dataBar" priority="1">
      <dataBar>
        <cfvo type="min"/>
        <cfvo type="max"/>
        <color rgb="FF2F6B4F"/>
      </dataBar>
    </cfRule>
    <cfRule type="dataBar" priority="2">
      <dataBar>
        <cfvo type="min"/>
        <cfvo type="max"/>
        <color rgb="FF2F6B4F"/>
      </dataBar>
      <extLst>
        <ext xmlns:x14="http://schemas.microsoft.com/office/spreadsheetml/2009/9/main" uri="{B025F937-C7B1-47D3-B67F-A62EFF666E3E}">
          <x14:id>{AADBC8D4-26E6-E84D-41D8-821BC3B522A0}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DBC8D4-26E6-E84D-41D8-821BC3B522A0}">
            <x14:dataBar>
              <x14:cfvo type="min"/>
              <x14:cfvo type="max"/>
              <x14:negativeFillColor auto="1"/>
              <x14:axisColor auto="1"/>
            </x14:dataBar>
          </x14:cfRule>
          <xm:sqref>H16:H22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>
      <selection activeCell="E20" sqref="E20"/>
    </sheetView>
  </sheetViews>
  <sheetFormatPr defaultRowHeight="14.25"/>
  <cols>
    <col min="1" max="1" width="20" customWidth="1"/>
    <col min="2" max="2" width="22" customWidth="1"/>
    <col min="3" max="3" width="28" customWidth="1"/>
    <col min="4" max="4" width="14" customWidth="1"/>
    <col min="5" max="5" width="16" customWidth="1"/>
    <col min="6" max="6" width="14" customWidth="1"/>
    <col min="7" max="7" width="16" customWidth="1"/>
    <col min="8" max="8" width="14" customWidth="1"/>
    <col min="9" max="9" width="18" customWidth="1"/>
    <col min="10" max="10" width="24" customWidth="1"/>
  </cols>
  <sheetData>
    <row r="1" spans="1:26" ht="36" customHeight="1">
      <c r="A1" s="32" t="s">
        <v>96</v>
      </c>
      <c r="B1" s="33"/>
      <c r="C1" s="33"/>
      <c r="D1" s="33"/>
      <c r="E1" s="33"/>
      <c r="F1" s="33"/>
      <c r="G1" s="33"/>
      <c r="H1" s="33"/>
      <c r="I1" s="33"/>
      <c r="J1" s="3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97</v>
      </c>
      <c r="B2" s="33"/>
      <c r="C2" s="33"/>
      <c r="D2" s="33"/>
      <c r="E2" s="33"/>
      <c r="F2" s="33"/>
      <c r="G2" s="33"/>
      <c r="H2" s="33"/>
      <c r="I2" s="33"/>
      <c r="J2" s="3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3" t="s">
        <v>46</v>
      </c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 t="s">
        <v>54</v>
      </c>
      <c r="J4" s="3" t="s">
        <v>55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>
      <c r="A5" s="7" t="str">
        <f>输入区!A17</f>
        <v>应急金/现金类</v>
      </c>
      <c r="B5" s="7" t="str">
        <f>输入区!B17</f>
        <v>地基与安全垫</v>
      </c>
      <c r="C5" s="7" t="str">
        <f>输入区!C17</f>
        <v>活期、货币基金、短期存款</v>
      </c>
      <c r="D5" s="26">
        <f>输入区!D17</f>
        <v>0.1</v>
      </c>
      <c r="E5" s="27">
        <f>输入区!E17</f>
        <v>60000</v>
      </c>
      <c r="F5" s="26">
        <f>输入区!F17</f>
        <v>0.15</v>
      </c>
      <c r="G5" s="26">
        <f>输入区!G17</f>
        <v>40000</v>
      </c>
      <c r="H5" s="26">
        <f>输入区!H17</f>
        <v>4.9999999999999989E-2</v>
      </c>
      <c r="I5" s="27">
        <f>输入区!I17</f>
        <v>-20000</v>
      </c>
      <c r="J5" s="28" t="str">
        <f>输入区!J17</f>
        <v>保持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>
      <c r="A6" s="7" t="str">
        <f>输入区!A18</f>
        <v>稳健储备/债券类</v>
      </c>
      <c r="B6" s="7" t="str">
        <f>输入区!B18</f>
        <v>降低波动</v>
      </c>
      <c r="C6" s="7" t="str">
        <f>输入区!C18</f>
        <v>债券基金、存款、稳健理财</v>
      </c>
      <c r="D6" s="26">
        <f>输入区!D18</f>
        <v>0.1</v>
      </c>
      <c r="E6" s="27">
        <f>输入区!E18</f>
        <v>30000</v>
      </c>
      <c r="F6" s="26">
        <f>输入区!F18</f>
        <v>7.4999999999999997E-2</v>
      </c>
      <c r="G6" s="26">
        <f>输入区!G18</f>
        <v>40000</v>
      </c>
      <c r="H6" s="26">
        <f>输入区!H18</f>
        <v>-2.5000000000000008E-2</v>
      </c>
      <c r="I6" s="27">
        <f>输入区!I18</f>
        <v>10000</v>
      </c>
      <c r="J6" s="28" t="str">
        <f>输入区!J18</f>
        <v>保持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>
      <c r="A7" s="7" t="str">
        <f>输入区!A19</f>
        <v>A股宽基</v>
      </c>
      <c r="B7" s="7" t="str">
        <f>输入区!B19</f>
        <v>国内长期增长</v>
      </c>
      <c r="C7" s="7" t="str">
        <f>输入区!C19</f>
        <v>沪深300、中证A500</v>
      </c>
      <c r="D7" s="26">
        <f>输入区!D19</f>
        <v>0.3</v>
      </c>
      <c r="E7" s="27">
        <f>输入区!E19</f>
        <v>120000</v>
      </c>
      <c r="F7" s="26">
        <f>输入区!F19</f>
        <v>0.3</v>
      </c>
      <c r="G7" s="26">
        <f>输入区!G19</f>
        <v>120000</v>
      </c>
      <c r="H7" s="26">
        <f>输入区!H19</f>
        <v>0</v>
      </c>
      <c r="I7" s="27">
        <f>输入区!I19</f>
        <v>0</v>
      </c>
      <c r="J7" s="28" t="str">
        <f>输入区!J19</f>
        <v>保持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>
      <c r="A8" s="7" t="str">
        <f>输入区!A20</f>
        <v>海外宽基</v>
      </c>
      <c r="B8" s="7" t="str">
        <f>输入区!B20</f>
        <v>全球分散</v>
      </c>
      <c r="C8" s="7" t="str">
        <f>输入区!C20</f>
        <v>标普500等</v>
      </c>
      <c r="D8" s="26">
        <f>输入区!D20</f>
        <v>0.25</v>
      </c>
      <c r="E8" s="27">
        <f>输入区!E20</f>
        <v>100000</v>
      </c>
      <c r="F8" s="26">
        <f>输入区!F20</f>
        <v>0.25</v>
      </c>
      <c r="G8" s="26">
        <f>输入区!G20</f>
        <v>100000</v>
      </c>
      <c r="H8" s="26">
        <f>输入区!H20</f>
        <v>0</v>
      </c>
      <c r="I8" s="27">
        <f>输入区!I20</f>
        <v>0</v>
      </c>
      <c r="J8" s="28" t="str">
        <f>输入区!J20</f>
        <v>保持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>
      <c r="A9" s="7" t="str">
        <f>输入区!A21</f>
        <v>成长增强</v>
      </c>
      <c r="B9" s="7" t="str">
        <f>输入区!B21</f>
        <v>提高长期弹性</v>
      </c>
      <c r="C9" s="7" t="str">
        <f>输入区!C21</f>
        <v>纳指100等</v>
      </c>
      <c r="D9" s="26">
        <f>输入区!D21</f>
        <v>0.15</v>
      </c>
      <c r="E9" s="27">
        <f>输入区!E21</f>
        <v>50000</v>
      </c>
      <c r="F9" s="26">
        <f>输入区!F21</f>
        <v>0.125</v>
      </c>
      <c r="G9" s="26">
        <f>输入区!G21</f>
        <v>60000</v>
      </c>
      <c r="H9" s="26">
        <f>输入区!H21</f>
        <v>-2.4999999999999994E-2</v>
      </c>
      <c r="I9" s="27">
        <f>输入区!I21</f>
        <v>10000</v>
      </c>
      <c r="J9" s="28" t="str">
        <f>输入区!J21</f>
        <v>保持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>
      <c r="A10" s="7" t="str">
        <f>输入区!A22</f>
        <v>黄金</v>
      </c>
      <c r="B10" s="7" t="str">
        <f>输入区!B22</f>
        <v>极端风险对冲</v>
      </c>
      <c r="C10" s="7" t="str">
        <f>输入区!C22</f>
        <v>实物黄金、黄金ETF</v>
      </c>
      <c r="D10" s="26">
        <f>输入区!D22</f>
        <v>0.1</v>
      </c>
      <c r="E10" s="27">
        <f>输入区!E22</f>
        <v>40000</v>
      </c>
      <c r="F10" s="26">
        <f>输入区!F22</f>
        <v>0.1</v>
      </c>
      <c r="G10" s="26">
        <f>输入区!G22</f>
        <v>40000</v>
      </c>
      <c r="H10" s="26">
        <f>输入区!H22</f>
        <v>0</v>
      </c>
      <c r="I10" s="27">
        <f>输入区!I22</f>
        <v>0</v>
      </c>
      <c r="J10" s="28" t="str">
        <f>输入区!J22</f>
        <v>保持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7" t="str">
        <f>输入区!A23</f>
        <v>其他长期资产</v>
      </c>
      <c r="B11" s="7" t="str">
        <f>输入区!B23</f>
        <v>自定义补充</v>
      </c>
      <c r="C11" s="7" t="str">
        <f>输入区!C23</f>
        <v>REITs、现金流资产等</v>
      </c>
      <c r="D11" s="26">
        <f>输入区!D23</f>
        <v>0</v>
      </c>
      <c r="E11" s="27">
        <f>输入区!E23</f>
        <v>0</v>
      </c>
      <c r="F11" s="26">
        <f>输入区!F23</f>
        <v>0</v>
      </c>
      <c r="G11" s="26">
        <f>输入区!G23</f>
        <v>0</v>
      </c>
      <c r="H11" s="26">
        <f>输入区!H23</f>
        <v>0</v>
      </c>
      <c r="I11" s="27">
        <f>输入区!I23</f>
        <v>0</v>
      </c>
      <c r="J11" s="28" t="str">
        <f>输入区!J23</f>
        <v>保持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14" t="str">
        <f>输入区!A24</f>
        <v>合计</v>
      </c>
      <c r="B12" s="14">
        <f>输入区!B24</f>
        <v>0</v>
      </c>
      <c r="C12" s="14">
        <f>输入区!C24</f>
        <v>0</v>
      </c>
      <c r="D12" s="15">
        <f>输入区!D24</f>
        <v>1</v>
      </c>
      <c r="E12" s="16">
        <f>输入区!E24</f>
        <v>400000</v>
      </c>
      <c r="F12" s="15">
        <f>输入区!F24</f>
        <v>0.99999999999999989</v>
      </c>
      <c r="G12" s="15">
        <f>输入区!G24</f>
        <v>400000</v>
      </c>
      <c r="H12" s="15">
        <f>输入区!H24</f>
        <v>0</v>
      </c>
      <c r="I12" s="16">
        <f>输入区!I24</f>
        <v>0</v>
      </c>
      <c r="J12" s="14">
        <f>输入区!J24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35" t="s">
        <v>98</v>
      </c>
      <c r="B15" s="33"/>
      <c r="C15" s="33"/>
      <c r="D15" s="33"/>
      <c r="E15" s="33"/>
      <c r="F15" s="33"/>
      <c r="G15" s="33"/>
      <c r="H15" s="33"/>
      <c r="I15" s="33"/>
      <c r="J15" s="3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3">
      <c r="A16" s="23" t="s">
        <v>99</v>
      </c>
      <c r="B16" s="2" t="s">
        <v>100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3">
      <c r="A17" s="23" t="s">
        <v>101</v>
      </c>
      <c r="B17" s="2" t="s">
        <v>102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3">
      <c r="A18" s="23" t="s">
        <v>103</v>
      </c>
      <c r="B18" s="2" t="s">
        <v>104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9.5">
      <c r="A19" s="23" t="s">
        <v>105</v>
      </c>
      <c r="B19" s="2" t="s">
        <v>106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49.5">
      <c r="A20" s="23" t="s">
        <v>107</v>
      </c>
      <c r="B20" s="2" t="s">
        <v>108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3">
    <mergeCell ref="A1:J1"/>
    <mergeCell ref="A2:J2"/>
    <mergeCell ref="A15:J15"/>
  </mergeCells>
  <phoneticPr fontId="10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workbookViewId="0">
      <selection sqref="A1:J1"/>
    </sheetView>
  </sheetViews>
  <sheetFormatPr defaultRowHeight="14.25"/>
  <cols>
    <col min="1" max="1" width="20" customWidth="1"/>
    <col min="2" max="3" width="14" customWidth="1"/>
    <col min="4" max="7" width="16" customWidth="1"/>
    <col min="8" max="8" width="22" customWidth="1"/>
    <col min="9" max="10" width="20" customWidth="1"/>
  </cols>
  <sheetData>
    <row r="1" spans="1:26" ht="36" customHeight="1">
      <c r="A1" s="32" t="s">
        <v>109</v>
      </c>
      <c r="B1" s="33"/>
      <c r="C1" s="33"/>
      <c r="D1" s="33"/>
      <c r="E1" s="33"/>
      <c r="F1" s="33"/>
      <c r="G1" s="33"/>
      <c r="H1" s="33"/>
      <c r="I1" s="33"/>
      <c r="J1" s="3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110</v>
      </c>
      <c r="B2" s="33"/>
      <c r="C2" s="33"/>
      <c r="D2" s="33"/>
      <c r="E2" s="33"/>
      <c r="F2" s="33"/>
      <c r="G2" s="33"/>
      <c r="H2" s="33"/>
      <c r="I2" s="33"/>
      <c r="J2" s="3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3" t="s">
        <v>46</v>
      </c>
      <c r="B4" s="3" t="s">
        <v>49</v>
      </c>
      <c r="C4" s="3" t="s">
        <v>51</v>
      </c>
      <c r="D4" s="3" t="s">
        <v>53</v>
      </c>
      <c r="E4" s="3" t="s">
        <v>50</v>
      </c>
      <c r="F4" s="3" t="s">
        <v>52</v>
      </c>
      <c r="G4" s="3" t="s">
        <v>111</v>
      </c>
      <c r="H4" s="3" t="s">
        <v>112</v>
      </c>
      <c r="I4" s="3" t="s">
        <v>113</v>
      </c>
      <c r="J4" s="3" t="s">
        <v>114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>
      <c r="A5" s="17" t="str">
        <f>输入区!A17</f>
        <v>应急金/现金类</v>
      </c>
      <c r="B5" s="18">
        <f>输入区!D17</f>
        <v>0.1</v>
      </c>
      <c r="C5" s="18">
        <f>输入区!F17</f>
        <v>0.15</v>
      </c>
      <c r="D5" s="18">
        <f>输入区!H17</f>
        <v>4.9999999999999989E-2</v>
      </c>
      <c r="E5" s="29">
        <f>输入区!E17</f>
        <v>60000</v>
      </c>
      <c r="F5" s="29">
        <f>输入区!G17</f>
        <v>40000</v>
      </c>
      <c r="G5" s="29">
        <f>输入区!I17</f>
        <v>-20000</v>
      </c>
      <c r="H5" s="29">
        <f>IF(D5&lt;0,ABS(D5)/ABS(SUMIF($D$5:$D$11,"&lt;0",$D$5:$D$11))*输入区!$B$7,0)</f>
        <v>0</v>
      </c>
      <c r="I5" s="17" t="str">
        <f>IF(ABS(D5)&lt;=输入区!$B$11,"保持",IF(D5&lt;0,"新增资金优先买入","暂停新增，必要时再平衡"))</f>
        <v>保持</v>
      </c>
      <c r="J5" s="17" t="str">
        <f>IF(A5="应急金/现金类",IF(结果仪表盘!$B$8&lt;输入区!$B$6,"先补足应急金","达标后按目标比例配置"),"按年度复盘执行")</f>
        <v>达标后按目标比例配置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>
      <c r="A6" s="17" t="str">
        <f>输入区!A18</f>
        <v>稳健储备/债券类</v>
      </c>
      <c r="B6" s="18">
        <f>输入区!D18</f>
        <v>0.1</v>
      </c>
      <c r="C6" s="18">
        <f>输入区!F18</f>
        <v>7.4999999999999997E-2</v>
      </c>
      <c r="D6" s="18">
        <f>输入区!H18</f>
        <v>-2.5000000000000008E-2</v>
      </c>
      <c r="E6" s="29">
        <f>输入区!E18</f>
        <v>30000</v>
      </c>
      <c r="F6" s="29">
        <f>输入区!G18</f>
        <v>40000</v>
      </c>
      <c r="G6" s="29">
        <f>输入区!I18</f>
        <v>10000</v>
      </c>
      <c r="H6" s="29">
        <f>IF(D6&lt;0,ABS(D6)/ABS(SUMIF($D$5:$D$11,"&lt;0",$D$5:$D$11))*输入区!$B$7,0)</f>
        <v>2500.0000000000005</v>
      </c>
      <c r="I6" s="17" t="str">
        <f>IF(ABS(D6)&lt;=输入区!$B$11,"保持",IF(D6&lt;0,"新增资金优先买入","暂停新增，必要时再平衡"))</f>
        <v>保持</v>
      </c>
      <c r="J6" s="17" t="str">
        <f>IF(A6="应急金/现金类",IF(结果仪表盘!$B$8&lt;输入区!$B$6,"先补足应急金","达标后按目标比例配置"),"按年度复盘执行")</f>
        <v>按年度复盘执行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>
      <c r="A7" s="17" t="str">
        <f>输入区!A19</f>
        <v>A股宽基</v>
      </c>
      <c r="B7" s="18">
        <f>输入区!D19</f>
        <v>0.3</v>
      </c>
      <c r="C7" s="18">
        <f>输入区!F19</f>
        <v>0.3</v>
      </c>
      <c r="D7" s="18">
        <f>输入区!H19</f>
        <v>0</v>
      </c>
      <c r="E7" s="29">
        <f>输入区!E19</f>
        <v>120000</v>
      </c>
      <c r="F7" s="29">
        <f>输入区!G19</f>
        <v>120000</v>
      </c>
      <c r="G7" s="29">
        <f>输入区!I19</f>
        <v>0</v>
      </c>
      <c r="H7" s="29">
        <f>IF(D7&lt;0,ABS(D7)/ABS(SUMIF($D$5:$D$11,"&lt;0",$D$5:$D$11))*输入区!$B$7,0)</f>
        <v>0</v>
      </c>
      <c r="I7" s="17" t="str">
        <f>IF(ABS(D7)&lt;=输入区!$B$11,"保持",IF(D7&lt;0,"新增资金优先买入","暂停新增，必要时再平衡"))</f>
        <v>保持</v>
      </c>
      <c r="J7" s="17" t="str">
        <f>IF(A7="应急金/现金类",IF(结果仪表盘!$B$8&lt;输入区!$B$6,"先补足应急金","达标后按目标比例配置"),"按年度复盘执行")</f>
        <v>按年度复盘执行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>
      <c r="A8" s="17" t="str">
        <f>输入区!A20</f>
        <v>海外宽基</v>
      </c>
      <c r="B8" s="18">
        <f>输入区!D20</f>
        <v>0.25</v>
      </c>
      <c r="C8" s="18">
        <f>输入区!F20</f>
        <v>0.25</v>
      </c>
      <c r="D8" s="18">
        <f>输入区!H20</f>
        <v>0</v>
      </c>
      <c r="E8" s="29">
        <f>输入区!E20</f>
        <v>100000</v>
      </c>
      <c r="F8" s="29">
        <f>输入区!G20</f>
        <v>100000</v>
      </c>
      <c r="G8" s="29">
        <f>输入区!I20</f>
        <v>0</v>
      </c>
      <c r="H8" s="29">
        <f>IF(D8&lt;0,ABS(D8)/ABS(SUMIF($D$5:$D$11,"&lt;0",$D$5:$D$11))*输入区!$B$7,0)</f>
        <v>0</v>
      </c>
      <c r="I8" s="17" t="str">
        <f>IF(ABS(D8)&lt;=输入区!$B$11,"保持",IF(D8&lt;0,"新增资金优先买入","暂停新增，必要时再平衡"))</f>
        <v>保持</v>
      </c>
      <c r="J8" s="17" t="str">
        <f>IF(A8="应急金/现金类",IF(结果仪表盘!$B$8&lt;输入区!$B$6,"先补足应急金","达标后按目标比例配置"),"按年度复盘执行")</f>
        <v>按年度复盘执行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>
      <c r="A9" s="17" t="str">
        <f>输入区!A21</f>
        <v>成长增强</v>
      </c>
      <c r="B9" s="18">
        <f>输入区!D21</f>
        <v>0.15</v>
      </c>
      <c r="C9" s="18">
        <f>输入区!F21</f>
        <v>0.125</v>
      </c>
      <c r="D9" s="18">
        <f>输入区!H21</f>
        <v>-2.4999999999999994E-2</v>
      </c>
      <c r="E9" s="29">
        <f>输入区!E21</f>
        <v>50000</v>
      </c>
      <c r="F9" s="29">
        <f>输入区!G21</f>
        <v>60000</v>
      </c>
      <c r="G9" s="29">
        <f>输入区!I21</f>
        <v>10000</v>
      </c>
      <c r="H9" s="29">
        <f>IF(D9&lt;0,ABS(D9)/ABS(SUMIF($D$5:$D$11,"&lt;0",$D$5:$D$11))*输入区!$B$7,0)</f>
        <v>2499.9999999999995</v>
      </c>
      <c r="I9" s="17" t="str">
        <f>IF(ABS(D9)&lt;=输入区!$B$11,"保持",IF(D9&lt;0,"新增资金优先买入","暂停新增，必要时再平衡"))</f>
        <v>保持</v>
      </c>
      <c r="J9" s="17" t="str">
        <f>IF(A9="应急金/现金类",IF(结果仪表盘!$B$8&lt;输入区!$B$6,"先补足应急金","达标后按目标比例配置"),"按年度复盘执行")</f>
        <v>按年度复盘执行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>
      <c r="A10" s="17" t="str">
        <f>输入区!A22</f>
        <v>黄金</v>
      </c>
      <c r="B10" s="18">
        <f>输入区!D22</f>
        <v>0.1</v>
      </c>
      <c r="C10" s="18">
        <f>输入区!F22</f>
        <v>0.1</v>
      </c>
      <c r="D10" s="18">
        <f>输入区!H22</f>
        <v>0</v>
      </c>
      <c r="E10" s="29">
        <f>输入区!E22</f>
        <v>40000</v>
      </c>
      <c r="F10" s="29">
        <f>输入区!G22</f>
        <v>40000</v>
      </c>
      <c r="G10" s="29">
        <f>输入区!I22</f>
        <v>0</v>
      </c>
      <c r="H10" s="29">
        <f>IF(D10&lt;0,ABS(D10)/ABS(SUMIF($D$5:$D$11,"&lt;0",$D$5:$D$11))*输入区!$B$7,0)</f>
        <v>0</v>
      </c>
      <c r="I10" s="17" t="str">
        <f>IF(ABS(D10)&lt;=输入区!$B$11,"保持",IF(D10&lt;0,"新增资金优先买入","暂停新增，必要时再平衡"))</f>
        <v>保持</v>
      </c>
      <c r="J10" s="17" t="str">
        <f>IF(A10="应急金/现金类",IF(结果仪表盘!$B$8&lt;输入区!$B$6,"先补足应急金","达标后按目标比例配置"),"按年度复盘执行")</f>
        <v>按年度复盘执行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17" t="str">
        <f>输入区!A23</f>
        <v>其他长期资产</v>
      </c>
      <c r="B11" s="18">
        <f>输入区!D23</f>
        <v>0</v>
      </c>
      <c r="C11" s="18">
        <f>输入区!F23</f>
        <v>0</v>
      </c>
      <c r="D11" s="18">
        <f>输入区!H23</f>
        <v>0</v>
      </c>
      <c r="E11" s="29">
        <f>输入区!E23</f>
        <v>0</v>
      </c>
      <c r="F11" s="29">
        <f>输入区!G23</f>
        <v>0</v>
      </c>
      <c r="G11" s="29">
        <f>输入区!I23</f>
        <v>0</v>
      </c>
      <c r="H11" s="29">
        <f>IF(D11&lt;0,ABS(D11)/ABS(SUMIF($D$5:$D$11,"&lt;0",$D$5:$D$11))*输入区!$B$7,0)</f>
        <v>0</v>
      </c>
      <c r="I11" s="17" t="str">
        <f>IF(ABS(D11)&lt;=输入区!$B$11,"保持",IF(D11&lt;0,"新增资金优先买入","暂停新增，必要时再平衡"))</f>
        <v>保持</v>
      </c>
      <c r="J11" s="17" t="str">
        <f>IF(A11="应急金/现金类",IF(结果仪表盘!$B$8&lt;输入区!$B$6,"先补足应急金","达标后按目标比例配置"),"按年度复盘执行")</f>
        <v>按年度复盘执行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1" t="s">
        <v>115</v>
      </c>
      <c r="B12" s="1"/>
      <c r="C12" s="1"/>
      <c r="D12" s="1"/>
      <c r="E12" s="1"/>
      <c r="F12" s="1"/>
      <c r="G12" s="1"/>
      <c r="H12" s="1"/>
      <c r="I12" s="1"/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66">
      <c r="A13" s="23" t="s">
        <v>116</v>
      </c>
      <c r="B13" s="2" t="s">
        <v>117</v>
      </c>
      <c r="C13" s="2" t="s">
        <v>118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66">
      <c r="A14" s="23" t="s">
        <v>119</v>
      </c>
      <c r="B14" s="2" t="s">
        <v>120</v>
      </c>
      <c r="C14" s="2" t="s">
        <v>121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66">
      <c r="A15" s="23" t="s">
        <v>122</v>
      </c>
      <c r="B15" s="2" t="s">
        <v>123</v>
      </c>
      <c r="C15" s="2" t="s">
        <v>124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6">
      <c r="A16" s="23" t="s">
        <v>125</v>
      </c>
      <c r="B16" s="2" t="s">
        <v>126</v>
      </c>
      <c r="C16" s="2" t="s">
        <v>127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2">
    <mergeCell ref="A1:J1"/>
    <mergeCell ref="A2:J2"/>
  </mergeCells>
  <phoneticPr fontId="10" type="noConversion"/>
  <conditionalFormatting sqref="H5:H11">
    <cfRule type="dataBar" priority="1">
      <dataBar>
        <cfvo type="min"/>
        <cfvo type="max"/>
        <color rgb="FFD9A441"/>
      </dataBar>
    </cfRule>
    <cfRule type="dataBar" priority="2">
      <dataBar>
        <cfvo type="min"/>
        <cfvo type="max"/>
        <color rgb="FFD9A441"/>
      </dataBar>
      <extLst>
        <ext xmlns:x14="http://schemas.microsoft.com/office/spreadsheetml/2009/9/main" uri="{B025F937-C7B1-47D3-B67F-A62EFF666E3E}">
          <x14:id>{AA7E12EE-8421-B2F6-078A-0B26ADCF2327}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7E12EE-8421-B2F6-078A-0B26ADCF2327}">
            <x14:dataBar>
              <x14:cfvo type="min"/>
              <x14:cfvo type="max"/>
              <x14:negativeFillColor auto="1"/>
              <x14:axisColor auto="1"/>
            </x14:dataBar>
          </x14:cfRule>
          <xm:sqref>H5:H11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>
      <selection sqref="A1:L1"/>
    </sheetView>
  </sheetViews>
  <sheetFormatPr defaultRowHeight="14.25"/>
  <cols>
    <col min="1" max="1" width="10" customWidth="1"/>
    <col min="2" max="2" width="16" customWidth="1"/>
    <col min="3" max="5" width="18" customWidth="1"/>
    <col min="6" max="6" width="16" customWidth="1"/>
    <col min="7" max="7" width="18" customWidth="1"/>
    <col min="8" max="12" width="16" customWidth="1"/>
  </cols>
  <sheetData>
    <row r="1" spans="1:26" ht="36" customHeight="1">
      <c r="A1" s="32" t="s">
        <v>128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129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3" t="s">
        <v>130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83</v>
      </c>
      <c r="H4" s="3" t="s">
        <v>136</v>
      </c>
      <c r="I4" s="3" t="s">
        <v>114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>
      <c r="A5" s="17">
        <v>0</v>
      </c>
      <c r="B5" s="17">
        <f>输入区!$B$12</f>
        <v>39</v>
      </c>
      <c r="C5" s="29">
        <f>SUM(输入区!$E$17:$E$23)</f>
        <v>400000</v>
      </c>
      <c r="D5" s="29">
        <v>0</v>
      </c>
      <c r="E5" s="29">
        <v>0</v>
      </c>
      <c r="F5" s="29">
        <f>C5</f>
        <v>400000</v>
      </c>
      <c r="G5" s="29">
        <f>(输入区!$B$5*12)/输入区!$B$10</f>
        <v>3000000</v>
      </c>
      <c r="H5" s="18">
        <f t="shared" ref="H5:H35" si="0">F5/G5</f>
        <v>0.13333333333333333</v>
      </c>
      <c r="I5" s="17" t="s">
        <v>137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>
      <c r="A6" s="17">
        <v>1</v>
      </c>
      <c r="B6" s="17">
        <f>输入区!$B$12+A6</f>
        <v>40</v>
      </c>
      <c r="C6" s="29">
        <f t="shared" ref="C6:C35" si="1">F5</f>
        <v>400000</v>
      </c>
      <c r="D6" s="29">
        <f>输入区!$B$7*12+输入区!$B$8</f>
        <v>60000</v>
      </c>
      <c r="E6" s="29">
        <f>(C6+D6/2)*输入区!$B$9</f>
        <v>34400</v>
      </c>
      <c r="F6" s="29">
        <f t="shared" ref="F6:F35" si="2">C6+D6+E6</f>
        <v>494400</v>
      </c>
      <c r="G6" s="29">
        <f>(输入区!$B$5*12)/输入区!$B$10</f>
        <v>3000000</v>
      </c>
      <c r="H6" s="18">
        <f t="shared" si="0"/>
        <v>0.1648</v>
      </c>
      <c r="I6" s="17" t="str">
        <f>IF(F6&gt;=G6,"达到目标",IF(B6&gt;=输入区!$B$13,"目标年龄观察点","持续积累"))</f>
        <v>持续积累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>
      <c r="A7" s="17">
        <v>2</v>
      </c>
      <c r="B7" s="17">
        <f>输入区!$B$12+A7</f>
        <v>41</v>
      </c>
      <c r="C7" s="29">
        <f t="shared" si="1"/>
        <v>494400</v>
      </c>
      <c r="D7" s="29">
        <f>输入区!$B$7*12+输入区!$B$8</f>
        <v>60000</v>
      </c>
      <c r="E7" s="29">
        <f>(C7+D7/2)*输入区!$B$9</f>
        <v>41952</v>
      </c>
      <c r="F7" s="29">
        <f t="shared" si="2"/>
        <v>596352</v>
      </c>
      <c r="G7" s="29">
        <f>(输入区!$B$5*12)/输入区!$B$10</f>
        <v>3000000</v>
      </c>
      <c r="H7" s="18">
        <f t="shared" si="0"/>
        <v>0.19878399999999999</v>
      </c>
      <c r="I7" s="17" t="str">
        <f>IF(F7&gt;=G7,"达到目标",IF(B7&gt;=输入区!$B$13,"目标年龄观察点","持续积累"))</f>
        <v>持续积累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6.5">
      <c r="A8" s="17">
        <v>3</v>
      </c>
      <c r="B8" s="17">
        <f>输入区!$B$12+A8</f>
        <v>42</v>
      </c>
      <c r="C8" s="29">
        <f t="shared" si="1"/>
        <v>596352</v>
      </c>
      <c r="D8" s="29">
        <f>输入区!$B$7*12+输入区!$B$8</f>
        <v>60000</v>
      </c>
      <c r="E8" s="29">
        <f>(C8+D8/2)*输入区!$B$9</f>
        <v>50108.160000000003</v>
      </c>
      <c r="F8" s="29">
        <f t="shared" si="2"/>
        <v>706460.16000000003</v>
      </c>
      <c r="G8" s="29">
        <f>(输入区!$B$5*12)/输入区!$B$10</f>
        <v>3000000</v>
      </c>
      <c r="H8" s="18">
        <f t="shared" si="0"/>
        <v>0.23548672000000001</v>
      </c>
      <c r="I8" s="17" t="str">
        <f>IF(F8&gt;=G8,"达到目标",IF(B8&gt;=输入区!$B$13,"目标年龄观察点","持续积累"))</f>
        <v>持续积累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6.5">
      <c r="A9" s="17">
        <v>4</v>
      </c>
      <c r="B9" s="17">
        <f>输入区!$B$12+A9</f>
        <v>43</v>
      </c>
      <c r="C9" s="29">
        <f t="shared" si="1"/>
        <v>706460.16000000003</v>
      </c>
      <c r="D9" s="29">
        <f>输入区!$B$7*12+输入区!$B$8</f>
        <v>60000</v>
      </c>
      <c r="E9" s="29">
        <f>(C9+D9/2)*输入区!$B$9</f>
        <v>58916.812800000007</v>
      </c>
      <c r="F9" s="29">
        <f t="shared" si="2"/>
        <v>825376.97279999999</v>
      </c>
      <c r="G9" s="29">
        <f>(输入区!$B$5*12)/输入区!$B$10</f>
        <v>3000000</v>
      </c>
      <c r="H9" s="18">
        <f t="shared" si="0"/>
        <v>0.27512565760000002</v>
      </c>
      <c r="I9" s="17" t="str">
        <f>IF(F9&gt;=G9,"达到目标",IF(B9&gt;=输入区!$B$13,"目标年龄观察点","持续积累"))</f>
        <v>持续积累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6.5">
      <c r="A10" s="17">
        <v>5</v>
      </c>
      <c r="B10" s="17">
        <f>输入区!$B$12+A10</f>
        <v>44</v>
      </c>
      <c r="C10" s="29">
        <f t="shared" si="1"/>
        <v>825376.97279999999</v>
      </c>
      <c r="D10" s="29">
        <f>输入区!$B$7*12+输入区!$B$8</f>
        <v>60000</v>
      </c>
      <c r="E10" s="29">
        <f>(C10+D10/2)*输入区!$B$9</f>
        <v>68430.157823999994</v>
      </c>
      <c r="F10" s="29">
        <f t="shared" si="2"/>
        <v>953807.13062399998</v>
      </c>
      <c r="G10" s="29">
        <f>(输入区!$B$5*12)/输入区!$B$10</f>
        <v>3000000</v>
      </c>
      <c r="H10" s="18">
        <f t="shared" si="0"/>
        <v>0.31793571020799999</v>
      </c>
      <c r="I10" s="17" t="str">
        <f>IF(F10&gt;=G10,"达到目标",IF(B10&gt;=输入区!$B$13,"目标年龄观察点","持续积累"))</f>
        <v>持续积累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17">
        <v>6</v>
      </c>
      <c r="B11" s="17">
        <f>输入区!$B$12+A11</f>
        <v>45</v>
      </c>
      <c r="C11" s="29">
        <f t="shared" si="1"/>
        <v>953807.13062399998</v>
      </c>
      <c r="D11" s="29">
        <f>输入区!$B$7*12+输入区!$B$8</f>
        <v>60000</v>
      </c>
      <c r="E11" s="29">
        <f>(C11+D11/2)*输入区!$B$9</f>
        <v>78704.570449920007</v>
      </c>
      <c r="F11" s="29">
        <f t="shared" si="2"/>
        <v>1092511.7010739199</v>
      </c>
      <c r="G11" s="29">
        <f>(输入区!$B$5*12)/输入区!$B$10</f>
        <v>3000000</v>
      </c>
      <c r="H11" s="18">
        <f t="shared" si="0"/>
        <v>0.36417056702463996</v>
      </c>
      <c r="I11" s="17" t="str">
        <f>IF(F11&gt;=G11,"达到目标",IF(B11&gt;=输入区!$B$13,"目标年龄观察点","持续积累"))</f>
        <v>持续积累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17">
        <v>7</v>
      </c>
      <c r="B12" s="17">
        <f>输入区!$B$12+A12</f>
        <v>46</v>
      </c>
      <c r="C12" s="29">
        <f t="shared" si="1"/>
        <v>1092511.7010739199</v>
      </c>
      <c r="D12" s="29">
        <f>输入区!$B$7*12+输入区!$B$8</f>
        <v>60000</v>
      </c>
      <c r="E12" s="29">
        <f>(C12+D12/2)*输入区!$B$9</f>
        <v>89800.936085913592</v>
      </c>
      <c r="F12" s="29">
        <f t="shared" si="2"/>
        <v>1242312.6371598335</v>
      </c>
      <c r="G12" s="29">
        <f>(输入区!$B$5*12)/输入区!$B$10</f>
        <v>3000000</v>
      </c>
      <c r="H12" s="18">
        <f t="shared" si="0"/>
        <v>0.41410421238661116</v>
      </c>
      <c r="I12" s="17" t="str">
        <f>IF(F12&gt;=G12,"达到目标",IF(B12&gt;=输入区!$B$13,"目标年龄观察点","持续积累"))</f>
        <v>持续积累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17">
        <v>8</v>
      </c>
      <c r="B13" s="17">
        <f>输入区!$B$12+A13</f>
        <v>47</v>
      </c>
      <c r="C13" s="29">
        <f t="shared" si="1"/>
        <v>1242312.6371598335</v>
      </c>
      <c r="D13" s="29">
        <f>输入区!$B$7*12+输入区!$B$8</f>
        <v>60000</v>
      </c>
      <c r="E13" s="29">
        <f>(C13+D13/2)*输入区!$B$9</f>
        <v>101785.01097278668</v>
      </c>
      <c r="F13" s="29">
        <f t="shared" si="2"/>
        <v>1404097.6481326201</v>
      </c>
      <c r="G13" s="29">
        <f>(输入区!$B$5*12)/输入区!$B$10</f>
        <v>3000000</v>
      </c>
      <c r="H13" s="18">
        <f t="shared" si="0"/>
        <v>0.46803254937754007</v>
      </c>
      <c r="I13" s="17" t="str">
        <f>IF(F13&gt;=G13,"达到目标",IF(B13&gt;=输入区!$B$13,"目标年龄观察点","持续积累"))</f>
        <v>持续积累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17">
        <v>9</v>
      </c>
      <c r="B14" s="17">
        <f>输入区!$B$12+A14</f>
        <v>48</v>
      </c>
      <c r="C14" s="29">
        <f t="shared" si="1"/>
        <v>1404097.6481326201</v>
      </c>
      <c r="D14" s="29">
        <f>输入区!$B$7*12+输入区!$B$8</f>
        <v>60000</v>
      </c>
      <c r="E14" s="29">
        <f>(C14+D14/2)*输入区!$B$9</f>
        <v>114727.81185060961</v>
      </c>
      <c r="F14" s="29">
        <f t="shared" si="2"/>
        <v>1578825.4599832296</v>
      </c>
      <c r="G14" s="29">
        <f>(输入区!$B$5*12)/输入区!$B$10</f>
        <v>3000000</v>
      </c>
      <c r="H14" s="18">
        <f t="shared" si="0"/>
        <v>0.52627515332774322</v>
      </c>
      <c r="I14" s="17" t="str">
        <f>IF(F14&gt;=G14,"达到目标",IF(B14&gt;=输入区!$B$13,"目标年龄观察点","持续积累"))</f>
        <v>持续积累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17">
        <v>10</v>
      </c>
      <c r="B15" s="17">
        <f>输入区!$B$12+A15</f>
        <v>49</v>
      </c>
      <c r="C15" s="29">
        <f t="shared" si="1"/>
        <v>1578825.4599832296</v>
      </c>
      <c r="D15" s="29">
        <f>输入区!$B$7*12+输入区!$B$8</f>
        <v>60000</v>
      </c>
      <c r="E15" s="29">
        <f>(C15+D15/2)*输入区!$B$9</f>
        <v>128706.03679865837</v>
      </c>
      <c r="F15" s="29">
        <f t="shared" si="2"/>
        <v>1767531.496781888</v>
      </c>
      <c r="G15" s="29">
        <f>(输入区!$B$5*12)/输入区!$B$10</f>
        <v>3000000</v>
      </c>
      <c r="H15" s="18">
        <f t="shared" si="0"/>
        <v>0.5891771655939626</v>
      </c>
      <c r="I15" s="17" t="str">
        <f>IF(F15&gt;=G15,"达到目标",IF(B15&gt;=输入区!$B$13,"目标年龄观察点","持续积累"))</f>
        <v>持续积累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>
      <c r="A16" s="17">
        <v>11</v>
      </c>
      <c r="B16" s="17">
        <f>输入区!$B$12+A16</f>
        <v>50</v>
      </c>
      <c r="C16" s="29">
        <f t="shared" si="1"/>
        <v>1767531.496781888</v>
      </c>
      <c r="D16" s="29">
        <f>输入区!$B$7*12+输入区!$B$8</f>
        <v>60000</v>
      </c>
      <c r="E16" s="29">
        <f>(C16+D16/2)*输入区!$B$9</f>
        <v>143802.51974255103</v>
      </c>
      <c r="F16" s="29">
        <f t="shared" si="2"/>
        <v>1971334.016524439</v>
      </c>
      <c r="G16" s="29">
        <f>(输入区!$B$5*12)/输入区!$B$10</f>
        <v>3000000</v>
      </c>
      <c r="H16" s="18">
        <f t="shared" si="0"/>
        <v>0.65711133884147965</v>
      </c>
      <c r="I16" s="17" t="str">
        <f>IF(F16&gt;=G16,"达到目标",IF(B16&gt;=输入区!$B$13,"目标年龄观察点","持续积累"))</f>
        <v>目标年龄观察点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17">
        <v>12</v>
      </c>
      <c r="B17" s="17">
        <f>输入区!$B$12+A17</f>
        <v>51</v>
      </c>
      <c r="C17" s="29">
        <f t="shared" si="1"/>
        <v>1971334.016524439</v>
      </c>
      <c r="D17" s="29">
        <f>输入区!$B$7*12+输入区!$B$8</f>
        <v>60000</v>
      </c>
      <c r="E17" s="29">
        <f>(C17+D17/2)*输入区!$B$9</f>
        <v>160106.72132195512</v>
      </c>
      <c r="F17" s="29">
        <f t="shared" si="2"/>
        <v>2191440.7378463941</v>
      </c>
      <c r="G17" s="29">
        <f>(输入区!$B$5*12)/输入区!$B$10</f>
        <v>3000000</v>
      </c>
      <c r="H17" s="18">
        <f t="shared" si="0"/>
        <v>0.73048024594879801</v>
      </c>
      <c r="I17" s="17" t="str">
        <f>IF(F17&gt;=G17,"达到目标",IF(B17&gt;=输入区!$B$13,"目标年龄观察点","持续积累"))</f>
        <v>目标年龄观察点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17">
        <v>13</v>
      </c>
      <c r="B18" s="17">
        <f>输入区!$B$12+A18</f>
        <v>52</v>
      </c>
      <c r="C18" s="29">
        <f t="shared" si="1"/>
        <v>2191440.7378463941</v>
      </c>
      <c r="D18" s="29">
        <f>输入区!$B$7*12+输入区!$B$8</f>
        <v>60000</v>
      </c>
      <c r="E18" s="29">
        <f>(C18+D18/2)*输入区!$B$9</f>
        <v>177715.25902771152</v>
      </c>
      <c r="F18" s="29">
        <f t="shared" si="2"/>
        <v>2429155.9968741057</v>
      </c>
      <c r="G18" s="29">
        <f>(输入区!$B$5*12)/输入区!$B$10</f>
        <v>3000000</v>
      </c>
      <c r="H18" s="18">
        <f t="shared" si="0"/>
        <v>0.80971866562470185</v>
      </c>
      <c r="I18" s="17" t="str">
        <f>IF(F18&gt;=G18,"达到目标",IF(B18&gt;=输入区!$B$13,"目标年龄观察点","持续积累"))</f>
        <v>目标年龄观察点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17">
        <v>14</v>
      </c>
      <c r="B19" s="17">
        <f>输入区!$B$12+A19</f>
        <v>53</v>
      </c>
      <c r="C19" s="29">
        <f t="shared" si="1"/>
        <v>2429155.9968741057</v>
      </c>
      <c r="D19" s="29">
        <f>输入区!$B$7*12+输入区!$B$8</f>
        <v>60000</v>
      </c>
      <c r="E19" s="29">
        <f>(C19+D19/2)*输入区!$B$9</f>
        <v>196732.47974992846</v>
      </c>
      <c r="F19" s="29">
        <f t="shared" si="2"/>
        <v>2685888.4766240343</v>
      </c>
      <c r="G19" s="29">
        <f>(输入区!$B$5*12)/输入区!$B$10</f>
        <v>3000000</v>
      </c>
      <c r="H19" s="18">
        <f t="shared" si="0"/>
        <v>0.89529615887467806</v>
      </c>
      <c r="I19" s="17" t="str">
        <f>IF(F19&gt;=G19,"达到目标",IF(B19&gt;=输入区!$B$13,"目标年龄观察点","持续积累"))</f>
        <v>目标年龄观察点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17">
        <v>15</v>
      </c>
      <c r="B20" s="17">
        <f>输入区!$B$12+A20</f>
        <v>54</v>
      </c>
      <c r="C20" s="29">
        <f t="shared" si="1"/>
        <v>2685888.4766240343</v>
      </c>
      <c r="D20" s="29">
        <f>输入区!$B$7*12+输入区!$B$8</f>
        <v>60000</v>
      </c>
      <c r="E20" s="29">
        <f>(C20+D20/2)*输入区!$B$9</f>
        <v>217271.07812992274</v>
      </c>
      <c r="F20" s="29">
        <f t="shared" si="2"/>
        <v>2963159.5547539573</v>
      </c>
      <c r="G20" s="29">
        <f>(输入区!$B$5*12)/输入区!$B$10</f>
        <v>3000000</v>
      </c>
      <c r="H20" s="18">
        <f t="shared" si="0"/>
        <v>0.98771985158465248</v>
      </c>
      <c r="I20" s="17" t="str">
        <f>IF(F20&gt;=G20,"达到目标",IF(B20&gt;=输入区!$B$13,"目标年龄观察点","持续积累"))</f>
        <v>目标年龄观察点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17">
        <v>16</v>
      </c>
      <c r="B21" s="17">
        <f>输入区!$B$12+A21</f>
        <v>55</v>
      </c>
      <c r="C21" s="29">
        <f t="shared" si="1"/>
        <v>2963159.5547539573</v>
      </c>
      <c r="D21" s="29">
        <f>输入区!$B$7*12+输入区!$B$8</f>
        <v>60000</v>
      </c>
      <c r="E21" s="29">
        <f>(C21+D21/2)*输入区!$B$9</f>
        <v>239452.7643803166</v>
      </c>
      <c r="F21" s="29">
        <f t="shared" si="2"/>
        <v>3262612.319134274</v>
      </c>
      <c r="G21" s="29">
        <f>(输入区!$B$5*12)/输入区!$B$10</f>
        <v>3000000</v>
      </c>
      <c r="H21" s="18">
        <f t="shared" si="0"/>
        <v>1.0875374397114246</v>
      </c>
      <c r="I21" s="17" t="str">
        <f>IF(F21&gt;=G21,"达到目标",IF(B21&gt;=输入区!$B$13,"目标年龄观察点","持续积累"))</f>
        <v>达到目标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17">
        <v>17</v>
      </c>
      <c r="B22" s="17">
        <f>输入区!$B$12+A22</f>
        <v>56</v>
      </c>
      <c r="C22" s="29">
        <f t="shared" si="1"/>
        <v>3262612.319134274</v>
      </c>
      <c r="D22" s="29">
        <f>输入区!$B$7*12+输入区!$B$8</f>
        <v>60000</v>
      </c>
      <c r="E22" s="29">
        <f>(C22+D22/2)*输入区!$B$9</f>
        <v>263408.98553074192</v>
      </c>
      <c r="F22" s="29">
        <f t="shared" si="2"/>
        <v>3586021.304665016</v>
      </c>
      <c r="G22" s="29">
        <f>(输入区!$B$5*12)/输入区!$B$10</f>
        <v>3000000</v>
      </c>
      <c r="H22" s="18">
        <f t="shared" si="0"/>
        <v>1.1953404348883387</v>
      </c>
      <c r="I22" s="17" t="str">
        <f>IF(F22&gt;=G22,"达到目标",IF(B22&gt;=输入区!$B$13,"目标年龄观察点","持续积累"))</f>
        <v>达到目标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17">
        <v>18</v>
      </c>
      <c r="B23" s="17">
        <f>输入区!$B$12+A23</f>
        <v>57</v>
      </c>
      <c r="C23" s="29">
        <f t="shared" si="1"/>
        <v>3586021.304665016</v>
      </c>
      <c r="D23" s="29">
        <f>输入区!$B$7*12+输入区!$B$8</f>
        <v>60000</v>
      </c>
      <c r="E23" s="29">
        <f>(C23+D23/2)*输入区!$B$9</f>
        <v>289281.7043732013</v>
      </c>
      <c r="F23" s="29">
        <f t="shared" si="2"/>
        <v>3935303.0090382174</v>
      </c>
      <c r="G23" s="29">
        <f>(输入区!$B$5*12)/输入区!$B$10</f>
        <v>3000000</v>
      </c>
      <c r="H23" s="18">
        <f t="shared" si="0"/>
        <v>1.3117676696794058</v>
      </c>
      <c r="I23" s="17" t="str">
        <f>IF(F23&gt;=G23,"达到目标",IF(B23&gt;=输入区!$B$13,"目标年龄观察点","持续积累"))</f>
        <v>达到目标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17">
        <v>19</v>
      </c>
      <c r="B24" s="17">
        <f>输入区!$B$12+A24</f>
        <v>58</v>
      </c>
      <c r="C24" s="29">
        <f t="shared" si="1"/>
        <v>3935303.0090382174</v>
      </c>
      <c r="D24" s="29">
        <f>输入区!$B$7*12+输入区!$B$8</f>
        <v>60000</v>
      </c>
      <c r="E24" s="29">
        <f>(C24+D24/2)*输入区!$B$9</f>
        <v>317224.24072305742</v>
      </c>
      <c r="F24" s="29">
        <f t="shared" si="2"/>
        <v>4312527.249761275</v>
      </c>
      <c r="G24" s="29">
        <f>(输入区!$B$5*12)/输入区!$B$10</f>
        <v>3000000</v>
      </c>
      <c r="H24" s="18">
        <f t="shared" si="0"/>
        <v>1.4375090832537583</v>
      </c>
      <c r="I24" s="17" t="str">
        <f>IF(F24&gt;=G24,"达到目标",IF(B24&gt;=输入区!$B$13,"目标年龄观察点","持续积累"))</f>
        <v>达到目标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17">
        <v>20</v>
      </c>
      <c r="B25" s="17">
        <f>输入区!$B$12+A25</f>
        <v>59</v>
      </c>
      <c r="C25" s="29">
        <f t="shared" si="1"/>
        <v>4312527.249761275</v>
      </c>
      <c r="D25" s="29">
        <f>输入区!$B$7*12+输入区!$B$8</f>
        <v>60000</v>
      </c>
      <c r="E25" s="29">
        <f>(C25+D25/2)*输入区!$B$9</f>
        <v>347402.179980902</v>
      </c>
      <c r="F25" s="29">
        <f t="shared" si="2"/>
        <v>4719929.429742177</v>
      </c>
      <c r="G25" s="29">
        <f>(输入区!$B$5*12)/输入区!$B$10</f>
        <v>3000000</v>
      </c>
      <c r="H25" s="18">
        <f t="shared" si="0"/>
        <v>1.573309809914059</v>
      </c>
      <c r="I25" s="17" t="str">
        <f>IF(F25&gt;=G25,"达到目标",IF(B25&gt;=输入区!$B$13,"目标年龄观察点","持续积累"))</f>
        <v>达到目标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17">
        <v>21</v>
      </c>
      <c r="B26" s="17">
        <f>输入区!$B$12+A26</f>
        <v>60</v>
      </c>
      <c r="C26" s="29">
        <f t="shared" si="1"/>
        <v>4719929.429742177</v>
      </c>
      <c r="D26" s="29">
        <f>输入区!$B$7*12+输入区!$B$8</f>
        <v>60000</v>
      </c>
      <c r="E26" s="29">
        <f>(C26+D26/2)*输入区!$B$9</f>
        <v>379994.35437937418</v>
      </c>
      <c r="F26" s="29">
        <f t="shared" si="2"/>
        <v>5159923.7841215516</v>
      </c>
      <c r="G26" s="29">
        <f>(输入区!$B$5*12)/输入区!$B$10</f>
        <v>3000000</v>
      </c>
      <c r="H26" s="18">
        <f t="shared" si="0"/>
        <v>1.7199745947071838</v>
      </c>
      <c r="I26" s="17" t="str">
        <f>IF(F26&gt;=G26,"达到目标",IF(B26&gt;=输入区!$B$13,"目标年龄观察点","持续积累"))</f>
        <v>达到目标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17">
        <v>22</v>
      </c>
      <c r="B27" s="17">
        <f>输入区!$B$12+A27</f>
        <v>61</v>
      </c>
      <c r="C27" s="29">
        <f t="shared" si="1"/>
        <v>5159923.7841215516</v>
      </c>
      <c r="D27" s="29">
        <f>输入区!$B$7*12+输入区!$B$8</f>
        <v>60000</v>
      </c>
      <c r="E27" s="29">
        <f>(C27+D27/2)*输入区!$B$9</f>
        <v>415193.90272972413</v>
      </c>
      <c r="F27" s="29">
        <f t="shared" si="2"/>
        <v>5635117.6868512761</v>
      </c>
      <c r="G27" s="29">
        <f>(输入区!$B$5*12)/输入区!$B$10</f>
        <v>3000000</v>
      </c>
      <c r="H27" s="18">
        <f t="shared" si="0"/>
        <v>1.8783725622837586</v>
      </c>
      <c r="I27" s="17" t="str">
        <f>IF(F27&gt;=G27,"达到目标",IF(B27&gt;=输入区!$B$13,"目标年龄观察点","持续积累"))</f>
        <v>达到目标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17">
        <v>23</v>
      </c>
      <c r="B28" s="17">
        <f>输入区!$B$12+A28</f>
        <v>62</v>
      </c>
      <c r="C28" s="29">
        <f t="shared" si="1"/>
        <v>5635117.6868512761</v>
      </c>
      <c r="D28" s="29">
        <f>输入区!$B$7*12+输入区!$B$8</f>
        <v>60000</v>
      </c>
      <c r="E28" s="29">
        <f>(C28+D28/2)*输入区!$B$9</f>
        <v>453209.41494810209</v>
      </c>
      <c r="F28" s="29">
        <f t="shared" si="2"/>
        <v>6148327.1017993782</v>
      </c>
      <c r="G28" s="29">
        <f>(输入区!$B$5*12)/输入区!$B$10</f>
        <v>3000000</v>
      </c>
      <c r="H28" s="18">
        <f t="shared" si="0"/>
        <v>2.0494423672664595</v>
      </c>
      <c r="I28" s="17" t="str">
        <f>IF(F28&gt;=G28,"达到目标",IF(B28&gt;=输入区!$B$13,"目标年龄观察点","持续积累"))</f>
        <v>达到目标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17">
        <v>24</v>
      </c>
      <c r="B29" s="17">
        <f>输入区!$B$12+A29</f>
        <v>63</v>
      </c>
      <c r="C29" s="29">
        <f t="shared" si="1"/>
        <v>6148327.1017993782</v>
      </c>
      <c r="D29" s="29">
        <f>输入区!$B$7*12+输入区!$B$8</f>
        <v>60000</v>
      </c>
      <c r="E29" s="29">
        <f>(C29+D29/2)*输入区!$B$9</f>
        <v>494266.16814395029</v>
      </c>
      <c r="F29" s="29">
        <f t="shared" si="2"/>
        <v>6702593.2699433286</v>
      </c>
      <c r="G29" s="29">
        <f>(输入区!$B$5*12)/输入区!$B$10</f>
        <v>3000000</v>
      </c>
      <c r="H29" s="18">
        <f t="shared" si="0"/>
        <v>2.234197756647776</v>
      </c>
      <c r="I29" s="17" t="str">
        <f>IF(F29&gt;=G29,"达到目标",IF(B29&gt;=输入区!$B$13,"目标年龄观察点","持续积累"))</f>
        <v>达到目标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17">
        <v>25</v>
      </c>
      <c r="B30" s="17">
        <f>输入区!$B$12+A30</f>
        <v>64</v>
      </c>
      <c r="C30" s="29">
        <f t="shared" si="1"/>
        <v>6702593.2699433286</v>
      </c>
      <c r="D30" s="29">
        <f>输入区!$B$7*12+输入区!$B$8</f>
        <v>60000</v>
      </c>
      <c r="E30" s="29">
        <f>(C30+D30/2)*输入区!$B$9</f>
        <v>538607.46159546624</v>
      </c>
      <c r="F30" s="29">
        <f t="shared" si="2"/>
        <v>7301200.7315387949</v>
      </c>
      <c r="G30" s="29">
        <f>(输入区!$B$5*12)/输入区!$B$10</f>
        <v>3000000</v>
      </c>
      <c r="H30" s="18">
        <f t="shared" si="0"/>
        <v>2.4337335771795985</v>
      </c>
      <c r="I30" s="17" t="str">
        <f>IF(F30&gt;=G30,"达到目标",IF(B30&gt;=输入区!$B$13,"目标年龄观察点","持续积累"))</f>
        <v>达到目标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17">
        <v>26</v>
      </c>
      <c r="B31" s="17">
        <f>输入区!$B$12+A31</f>
        <v>65</v>
      </c>
      <c r="C31" s="29">
        <f t="shared" si="1"/>
        <v>7301200.7315387949</v>
      </c>
      <c r="D31" s="29">
        <f>输入区!$B$7*12+输入区!$B$8</f>
        <v>60000</v>
      </c>
      <c r="E31" s="29">
        <f>(C31+D31/2)*输入区!$B$9</f>
        <v>586496.05852310359</v>
      </c>
      <c r="F31" s="29">
        <f t="shared" si="2"/>
        <v>7947696.7900618985</v>
      </c>
      <c r="G31" s="29">
        <f>(输入区!$B$5*12)/输入区!$B$10</f>
        <v>3000000</v>
      </c>
      <c r="H31" s="18">
        <f t="shared" si="0"/>
        <v>2.6492322633539662</v>
      </c>
      <c r="I31" s="17" t="str">
        <f>IF(F31&gt;=G31,"达到目标",IF(B31&gt;=输入区!$B$13,"目标年龄观察点","持续积累"))</f>
        <v>达到目标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17">
        <v>27</v>
      </c>
      <c r="B32" s="17">
        <f>输入区!$B$12+A32</f>
        <v>66</v>
      </c>
      <c r="C32" s="29">
        <f t="shared" si="1"/>
        <v>7947696.7900618985</v>
      </c>
      <c r="D32" s="29">
        <f>输入区!$B$7*12+输入区!$B$8</f>
        <v>60000</v>
      </c>
      <c r="E32" s="29">
        <f>(C32+D32/2)*输入区!$B$9</f>
        <v>638215.74320495187</v>
      </c>
      <c r="F32" s="29">
        <f t="shared" si="2"/>
        <v>8645912.5332668498</v>
      </c>
      <c r="G32" s="29">
        <f>(输入区!$B$5*12)/输入区!$B$10</f>
        <v>3000000</v>
      </c>
      <c r="H32" s="18">
        <f t="shared" si="0"/>
        <v>2.8819708444222831</v>
      </c>
      <c r="I32" s="17" t="str">
        <f>IF(F32&gt;=G32,"达到目标",IF(B32&gt;=输入区!$B$13,"目标年龄观察点","持续积累"))</f>
        <v>达到目标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17">
        <v>28</v>
      </c>
      <c r="B33" s="17">
        <f>输入区!$B$12+A33</f>
        <v>67</v>
      </c>
      <c r="C33" s="29">
        <f t="shared" si="1"/>
        <v>8645912.5332668498</v>
      </c>
      <c r="D33" s="29">
        <f>输入区!$B$7*12+输入区!$B$8</f>
        <v>60000</v>
      </c>
      <c r="E33" s="29">
        <f>(C33+D33/2)*输入区!$B$9</f>
        <v>694073.00266134797</v>
      </c>
      <c r="F33" s="29">
        <f t="shared" si="2"/>
        <v>9399985.5359281972</v>
      </c>
      <c r="G33" s="29">
        <f>(输入区!$B$5*12)/输入区!$B$10</f>
        <v>3000000</v>
      </c>
      <c r="H33" s="18">
        <f t="shared" si="0"/>
        <v>3.1333285119760657</v>
      </c>
      <c r="I33" s="17" t="str">
        <f>IF(F33&gt;=G33,"达到目标",IF(B33&gt;=输入区!$B$13,"目标年龄观察点","持续积累"))</f>
        <v>达到目标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17">
        <v>29</v>
      </c>
      <c r="B34" s="17">
        <f>输入区!$B$12+A34</f>
        <v>68</v>
      </c>
      <c r="C34" s="29">
        <f t="shared" si="1"/>
        <v>9399985.5359281972</v>
      </c>
      <c r="D34" s="29">
        <f>输入区!$B$7*12+输入区!$B$8</f>
        <v>60000</v>
      </c>
      <c r="E34" s="29">
        <f>(C34+D34/2)*输入区!$B$9</f>
        <v>754398.84287425585</v>
      </c>
      <c r="F34" s="29">
        <f t="shared" si="2"/>
        <v>10214384.378802452</v>
      </c>
      <c r="G34" s="29">
        <f>(输入区!$B$5*12)/输入区!$B$10</f>
        <v>3000000</v>
      </c>
      <c r="H34" s="18">
        <f t="shared" si="0"/>
        <v>3.4047947929341507</v>
      </c>
      <c r="I34" s="17" t="str">
        <f>IF(F34&gt;=G34,"达到目标",IF(B34&gt;=输入区!$B$13,"目标年龄观察点","持续积累"))</f>
        <v>达到目标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17">
        <v>30</v>
      </c>
      <c r="B35" s="17">
        <f>输入区!$B$12+A35</f>
        <v>69</v>
      </c>
      <c r="C35" s="29">
        <f t="shared" si="1"/>
        <v>10214384.378802452</v>
      </c>
      <c r="D35" s="29">
        <f>输入区!$B$7*12+输入区!$B$8</f>
        <v>60000</v>
      </c>
      <c r="E35" s="29">
        <f>(C35+D35/2)*输入区!$B$9</f>
        <v>819550.75030419615</v>
      </c>
      <c r="F35" s="29">
        <f t="shared" si="2"/>
        <v>11093935.129106648</v>
      </c>
      <c r="G35" s="29">
        <f>(输入区!$B$5*12)/输入区!$B$10</f>
        <v>3000000</v>
      </c>
      <c r="H35" s="18">
        <f t="shared" si="0"/>
        <v>3.6979783763688827</v>
      </c>
      <c r="I35" s="17" t="str">
        <f>IF(F35&gt;=G35,"达到目标",IF(B35&gt;=输入区!$B$13,"目标年龄观察点","持续积累"))</f>
        <v>达到目标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2">
    <mergeCell ref="A1:L1"/>
    <mergeCell ref="A2:L2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00"/>
  <sheetViews>
    <sheetView topLeftCell="A13" workbookViewId="0">
      <selection activeCell="H16" sqref="H16"/>
    </sheetView>
  </sheetViews>
  <sheetFormatPr defaultRowHeight="14.25"/>
  <cols>
    <col min="1" max="1" width="20" customWidth="1"/>
    <col min="2" max="5" width="14" customWidth="1"/>
    <col min="6" max="7" width="24" customWidth="1"/>
    <col min="8" max="10" width="18" customWidth="1"/>
  </cols>
  <sheetData>
    <row r="1" spans="1:26" ht="36" customHeight="1">
      <c r="A1" s="32" t="s">
        <v>138</v>
      </c>
      <c r="B1" s="33"/>
      <c r="C1" s="33"/>
      <c r="D1" s="33"/>
      <c r="E1" s="33"/>
      <c r="F1" s="33"/>
      <c r="G1" s="33"/>
      <c r="H1" s="33"/>
      <c r="I1" s="33"/>
      <c r="J1" s="3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7.95" customHeight="1">
      <c r="A2" s="34" t="s">
        <v>139</v>
      </c>
      <c r="B2" s="33"/>
      <c r="C2" s="33"/>
      <c r="D2" s="33"/>
      <c r="E2" s="33"/>
      <c r="F2" s="33"/>
      <c r="G2" s="33"/>
      <c r="H2" s="33"/>
      <c r="I2" s="33"/>
      <c r="J2" s="3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>
      <c r="A4" s="3" t="s">
        <v>46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3">
      <c r="A5" s="31" t="s">
        <v>56</v>
      </c>
      <c r="B5" s="18">
        <v>0.15</v>
      </c>
      <c r="C5" s="18">
        <v>0.1</v>
      </c>
      <c r="D5" s="18">
        <v>0.08</v>
      </c>
      <c r="E5" s="18">
        <v>0.1</v>
      </c>
      <c r="F5" s="30" t="s">
        <v>146</v>
      </c>
      <c r="G5" s="30" t="s">
        <v>147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">
      <c r="A6" s="31" t="s">
        <v>59</v>
      </c>
      <c r="B6" s="18">
        <v>0.2</v>
      </c>
      <c r="C6" s="18">
        <v>0.15</v>
      </c>
      <c r="D6" s="18">
        <v>7.0000000000000007E-2</v>
      </c>
      <c r="E6" s="18">
        <v>0.1</v>
      </c>
      <c r="F6" s="30" t="s">
        <v>148</v>
      </c>
      <c r="G6" s="30" t="s">
        <v>149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3">
      <c r="A7" s="31" t="s">
        <v>62</v>
      </c>
      <c r="B7" s="18">
        <v>0.25</v>
      </c>
      <c r="C7" s="18">
        <v>0.3</v>
      </c>
      <c r="D7" s="18">
        <v>0.32</v>
      </c>
      <c r="E7" s="18">
        <v>0.3</v>
      </c>
      <c r="F7" s="30" t="s">
        <v>150</v>
      </c>
      <c r="G7" s="30" t="s">
        <v>151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3">
      <c r="A8" s="31" t="s">
        <v>65</v>
      </c>
      <c r="B8" s="18">
        <v>0.2</v>
      </c>
      <c r="C8" s="18">
        <v>0.25</v>
      </c>
      <c r="D8" s="18">
        <v>0.28000000000000003</v>
      </c>
      <c r="E8" s="18">
        <v>0.25</v>
      </c>
      <c r="F8" s="30" t="s">
        <v>152</v>
      </c>
      <c r="G8" s="30" t="s">
        <v>153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3">
      <c r="A9" s="31" t="s">
        <v>68</v>
      </c>
      <c r="B9" s="18">
        <v>0.05</v>
      </c>
      <c r="C9" s="18">
        <v>0.1</v>
      </c>
      <c r="D9" s="18">
        <v>0.15</v>
      </c>
      <c r="E9" s="18">
        <v>0.15</v>
      </c>
      <c r="F9" s="30" t="s">
        <v>154</v>
      </c>
      <c r="G9" s="30" t="s">
        <v>155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">
      <c r="A10" s="31" t="s">
        <v>71</v>
      </c>
      <c r="B10" s="18">
        <v>0.15</v>
      </c>
      <c r="C10" s="18">
        <v>0.1</v>
      </c>
      <c r="D10" s="18">
        <v>0.08</v>
      </c>
      <c r="E10" s="18">
        <v>0.1</v>
      </c>
      <c r="F10" s="30" t="s">
        <v>156</v>
      </c>
      <c r="G10" s="30" t="s">
        <v>157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6.5">
      <c r="A11" s="31" t="s">
        <v>74</v>
      </c>
      <c r="B11" s="18">
        <v>0</v>
      </c>
      <c r="C11" s="18">
        <v>0</v>
      </c>
      <c r="D11" s="18">
        <v>0.02</v>
      </c>
      <c r="E11" s="18">
        <v>0</v>
      </c>
      <c r="F11" s="30" t="s">
        <v>158</v>
      </c>
      <c r="G11" s="30" t="s">
        <v>159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.5">
      <c r="A12" s="14" t="s">
        <v>77</v>
      </c>
      <c r="B12" s="15">
        <f>SUM(B5:B11)</f>
        <v>1</v>
      </c>
      <c r="C12" s="15">
        <f>SUM(C5:C11)</f>
        <v>1</v>
      </c>
      <c r="D12" s="15">
        <f>SUM(D5:D11)</f>
        <v>1</v>
      </c>
      <c r="E12" s="15">
        <f>SUM(E5:E11)</f>
        <v>1</v>
      </c>
      <c r="F12" s="14"/>
      <c r="G12" s="1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6.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35" t="s">
        <v>160</v>
      </c>
      <c r="B15" s="33"/>
      <c r="C15" s="33"/>
      <c r="D15" s="33"/>
      <c r="E15" s="33"/>
      <c r="F15" s="33"/>
      <c r="G15" s="3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66">
      <c r="A16" s="23" t="s">
        <v>140</v>
      </c>
      <c r="B16" s="2" t="s">
        <v>161</v>
      </c>
      <c r="C16" s="2"/>
      <c r="D16" s="2"/>
      <c r="E16" s="2"/>
      <c r="F16" s="2"/>
      <c r="G16" s="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9.5">
      <c r="A17" s="23" t="s">
        <v>141</v>
      </c>
      <c r="B17" s="2" t="s">
        <v>162</v>
      </c>
      <c r="C17" s="2"/>
      <c r="D17" s="2"/>
      <c r="E17" s="2"/>
      <c r="F17" s="2"/>
      <c r="G17" s="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6">
      <c r="A18" s="23" t="s">
        <v>142</v>
      </c>
      <c r="B18" s="2" t="s">
        <v>163</v>
      </c>
      <c r="C18" s="2"/>
      <c r="D18" s="2"/>
      <c r="E18" s="2"/>
      <c r="F18" s="2"/>
      <c r="G18" s="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66">
      <c r="A19" s="23" t="s">
        <v>143</v>
      </c>
      <c r="B19" s="2" t="s">
        <v>164</v>
      </c>
      <c r="C19" s="2"/>
      <c r="D19" s="2"/>
      <c r="E19" s="2"/>
      <c r="F19" s="2"/>
      <c r="G19" s="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6">
      <c r="A20" s="23" t="s">
        <v>165</v>
      </c>
      <c r="B20" s="2" t="s">
        <v>166</v>
      </c>
      <c r="C20" s="2"/>
      <c r="D20" s="2"/>
      <c r="E20" s="2"/>
      <c r="F20" s="2"/>
      <c r="G20" s="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6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6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6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6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6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6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6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6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6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6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6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6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6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6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6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6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6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6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6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6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6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6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6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6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6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6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6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6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6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6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6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6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6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6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6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6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6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6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6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6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6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6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6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6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6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6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6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6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6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6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6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6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6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6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6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6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6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6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6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6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6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6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6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6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6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6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6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6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6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6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6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6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6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6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6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6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6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6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6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6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6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6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6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6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6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6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6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6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6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6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6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6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6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6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6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6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6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6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6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6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6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6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6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6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6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6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6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6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6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6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6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6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6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6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6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6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6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6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6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6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6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6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6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6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6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6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6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6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6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6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6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6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6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6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6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6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6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</sheetData>
  <mergeCells count="3">
    <mergeCell ref="A1:J1"/>
    <mergeCell ref="A2:J2"/>
    <mergeCell ref="A15:G15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输入区</vt:lpstr>
      <vt:lpstr>结果仪表盘</vt:lpstr>
      <vt:lpstr>资产配置表</vt:lpstr>
      <vt:lpstr>再平衡计划</vt:lpstr>
      <vt:lpstr>年度路径</vt:lpstr>
      <vt:lpstr>情景模板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岩涛 刘</cp:lastModifiedBy>
  <dcterms:modified xsi:type="dcterms:W3CDTF">2026-06-27T11:27:32Z</dcterms:modified>
</cp:coreProperties>
</file>